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155" tabRatio="90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workbook>
</file>

<file path=xl/sharedStrings.xml><?xml version="1.0" encoding="utf-8"?>
<sst xmlns="http://schemas.openxmlformats.org/spreadsheetml/2006/main" count="447" uniqueCount="165">
  <si>
    <t>７　消　費　税</t>
  </si>
  <si>
    <t>区　　　分</t>
  </si>
  <si>
    <t>件　　　数</t>
  </si>
  <si>
    <t>税　　　額</t>
  </si>
  <si>
    <t>件</t>
  </si>
  <si>
    <t>千円</t>
  </si>
  <si>
    <t>差引計</t>
  </si>
  <si>
    <t>加算税</t>
  </si>
  <si>
    <t>課税事業者届出書</t>
  </si>
  <si>
    <t>課税事業者選択届出書</t>
  </si>
  <si>
    <t>新設法人に該当する旨の届出書</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</si>
  <si>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</si>
  <si>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</si>
  <si>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</si>
  <si>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</si>
  <si>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</si>
  <si>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</si>
  <si>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</si>
  <si>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</si>
  <si>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</si>
  <si>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</si>
  <si>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</si>
  <si>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</si>
  <si>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法　　　　　　　人</t>
  </si>
  <si>
    <t>合　　　　　　　計</t>
  </si>
  <si>
    <t>件　　数</t>
  </si>
  <si>
    <t>税　　額</t>
  </si>
  <si>
    <t>(3)　課税事業者等届出件数</t>
  </si>
  <si>
    <t>(1)　課税状況</t>
  </si>
  <si>
    <t>千円</t>
  </si>
  <si>
    <t>件</t>
  </si>
  <si>
    <t>現年分</t>
  </si>
  <si>
    <t>既往年分</t>
  </si>
  <si>
    <t>(2)　課税状況の累年比較</t>
  </si>
  <si>
    <t>調査対象等：</t>
  </si>
  <si>
    <t>平成22年度</t>
  </si>
  <si>
    <t>税関分は含まない。</t>
  </si>
  <si>
    <t>「件数欄」の「実」は、実件数を示す。</t>
  </si>
  <si>
    <t>平成23年度</t>
  </si>
  <si>
    <t>合計</t>
  </si>
  <si>
    <t>(4)　税務署別課税状況</t>
  </si>
  <si>
    <t>　イ　個人事業者</t>
  </si>
  <si>
    <t>税務署名</t>
  </si>
  <si>
    <t>納　　　税　　　申　　　告　　　及　　　び　　　処　　　理</t>
  </si>
  <si>
    <t>既往年分の
申告及び処理</t>
  </si>
  <si>
    <t>合　　　　　　計</t>
  </si>
  <si>
    <t>税務署名</t>
  </si>
  <si>
    <t>簡易申告及び処理</t>
  </si>
  <si>
    <t>小　　　　　　計</t>
  </si>
  <si>
    <t>件数</t>
  </si>
  <si>
    <t>税額</t>
  </si>
  <si>
    <t>税　額　①</t>
  </si>
  <si>
    <t>税　額　②</t>
  </si>
  <si>
    <t>税　額　③</t>
  </si>
  <si>
    <t>税　　　額
(①－②＋③)</t>
  </si>
  <si>
    <t>熊本西</t>
  </si>
  <si>
    <t>熊本東</t>
  </si>
  <si>
    <t>八代</t>
  </si>
  <si>
    <t>八代</t>
  </si>
  <si>
    <t>人吉</t>
  </si>
  <si>
    <t>人吉</t>
  </si>
  <si>
    <t>玉名</t>
  </si>
  <si>
    <t>玉名</t>
  </si>
  <si>
    <t>天草</t>
  </si>
  <si>
    <t>天草</t>
  </si>
  <si>
    <t>山鹿</t>
  </si>
  <si>
    <t>山鹿</t>
  </si>
  <si>
    <t>菊池</t>
  </si>
  <si>
    <t>菊池</t>
  </si>
  <si>
    <t>宇土</t>
  </si>
  <si>
    <t>宇土</t>
  </si>
  <si>
    <t>阿蘇</t>
  </si>
  <si>
    <t>阿蘇</t>
  </si>
  <si>
    <t>熊本県計</t>
  </si>
  <si>
    <t>熊本県計</t>
  </si>
  <si>
    <t>大分</t>
  </si>
  <si>
    <t>別府</t>
  </si>
  <si>
    <t>中津</t>
  </si>
  <si>
    <t>中津</t>
  </si>
  <si>
    <t>日田</t>
  </si>
  <si>
    <t>日田</t>
  </si>
  <si>
    <t>佐伯</t>
  </si>
  <si>
    <t>佐伯</t>
  </si>
  <si>
    <t>臼杵</t>
  </si>
  <si>
    <t>臼杵</t>
  </si>
  <si>
    <t>竹田</t>
  </si>
  <si>
    <t>竹田</t>
  </si>
  <si>
    <t>宇佐</t>
  </si>
  <si>
    <t>宇佐</t>
  </si>
  <si>
    <t>三重</t>
  </si>
  <si>
    <t>三重</t>
  </si>
  <si>
    <t>大分県計</t>
  </si>
  <si>
    <t>大分県計</t>
  </si>
  <si>
    <t>宮崎</t>
  </si>
  <si>
    <t>宮崎</t>
  </si>
  <si>
    <t>都城</t>
  </si>
  <si>
    <t>都城</t>
  </si>
  <si>
    <t>延岡</t>
  </si>
  <si>
    <t>延岡</t>
  </si>
  <si>
    <t>日南</t>
  </si>
  <si>
    <t>日南</t>
  </si>
  <si>
    <t>小林</t>
  </si>
  <si>
    <t>小林</t>
  </si>
  <si>
    <t>高鍋</t>
  </si>
  <si>
    <t>高鍋</t>
  </si>
  <si>
    <t>宮崎県計</t>
  </si>
  <si>
    <t>宮崎県計</t>
  </si>
  <si>
    <t>鹿児島</t>
  </si>
  <si>
    <t>鹿児島</t>
  </si>
  <si>
    <t>川内</t>
  </si>
  <si>
    <t>川内</t>
  </si>
  <si>
    <t>鹿屋</t>
  </si>
  <si>
    <t>鹿屋</t>
  </si>
  <si>
    <t>大島</t>
  </si>
  <si>
    <t>大島</t>
  </si>
  <si>
    <t>出水</t>
  </si>
  <si>
    <t>出水</t>
  </si>
  <si>
    <t>指宿</t>
  </si>
  <si>
    <t>指宿</t>
  </si>
  <si>
    <t>種子島</t>
  </si>
  <si>
    <t>種子島</t>
  </si>
  <si>
    <t>知覧</t>
  </si>
  <si>
    <t>知覧</t>
  </si>
  <si>
    <t>伊集院</t>
  </si>
  <si>
    <t>伊集院</t>
  </si>
  <si>
    <t>加治木</t>
  </si>
  <si>
    <t>加治木</t>
  </si>
  <si>
    <t>大隅</t>
  </si>
  <si>
    <t>大隅</t>
  </si>
  <si>
    <t>鹿児島県計</t>
  </si>
  <si>
    <t>鹿児島県計</t>
  </si>
  <si>
    <t>総　計</t>
  </si>
  <si>
    <t>総　計</t>
  </si>
  <si>
    <t>(4)　税務署別課税状況（続）</t>
  </si>
  <si>
    <t>　ロ　法　　　人</t>
  </si>
  <si>
    <t>税務署名</t>
  </si>
  <si>
    <t>熊本県計</t>
  </si>
  <si>
    <t>大分県計</t>
  </si>
  <si>
    <t>宮崎県計</t>
  </si>
  <si>
    <t>鹿児島</t>
  </si>
  <si>
    <t>種子島</t>
  </si>
  <si>
    <t>伊集院</t>
  </si>
  <si>
    <t>加治木</t>
  </si>
  <si>
    <t>鹿児島県計</t>
  </si>
  <si>
    <t>総　計</t>
  </si>
  <si>
    <t>　ハ　個人事業者と法人の合計</t>
  </si>
  <si>
    <t>課　税　事　業　者　等　届　出　件　数</t>
  </si>
  <si>
    <t>課税事業者
届出</t>
  </si>
  <si>
    <t>課税事業者
選択届出</t>
  </si>
  <si>
    <t>新設法人に
該当する旨
の届出</t>
  </si>
  <si>
    <t>合　　　計</t>
  </si>
  <si>
    <t>税　　額
(①－②＋③)</t>
  </si>
  <si>
    <t>熊本県計</t>
  </si>
  <si>
    <t/>
  </si>
  <si>
    <t>　　（注）１</t>
  </si>
  <si>
    <t>　 　 　　２</t>
  </si>
  <si>
    <t>　 （注）　納税義務者でなくなった旨の届出書又は課税事業者選択不適用届出書を提出した者は含まない。</t>
  </si>
  <si>
    <t>（注）　この表は「(1)　課税状況」の現年分を税務署別に示したものである（加算税を除く。）。</t>
  </si>
  <si>
    <t>（注）　この表は「(1)　課税状況」の現年分及び「(3)　課税事業者等届出件数」を税務署別に示したものである（加算税を除く。）。</t>
  </si>
  <si>
    <t>　「現年分」は、平成24年４月１日から平成25年３月31日までに終了した課税期間について、平成25年６月30日現在の申告（国・地方公共団体等については平成25年９月30日までの申告を含む。）及び処理（更正、決定等）による課税事績を「申告書及び決議書」に基づいて作成した。</t>
  </si>
  <si>
    <t>　「既往年分」は、平成24年３月31日以前に終了した課税期間について、平成24年７月１日から平成25年６月30日までの間の申告（平成24年７月１日から同年９月30日までの間の国・地方公共団体等に係る申告を除く。）及び処理（更正、決定等）による課税事績を「申告書及び決議書」に基づいて作成した。</t>
  </si>
  <si>
    <t>平成20年度</t>
  </si>
  <si>
    <t>平成21年度</t>
  </si>
  <si>
    <t>平成24年度</t>
  </si>
  <si>
    <t>調査対象等：平成24年度末（平成25年３月31日現在）の届出件数を示している。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</si>
</sst>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b/>
      <sz val="9"/>
      <name val="ＭＳ 明朝"/>
      <family val="1"/>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hair"/>
      <top style="thin"/>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medium"/>
      <bottom>
        <color indexed="63"/>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hair"/>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medium"/>
      <top style="hair">
        <color indexed="55"/>
      </top>
      <bottom style="hair">
        <color indexed="55"/>
      </bottom>
    </border>
    <border>
      <left style="medium"/>
      <right>
        <color indexed="63"/>
      </right>
      <top>
        <color indexed="63"/>
      </top>
      <bottom style="medium"/>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thin"/>
      <right style="medium"/>
      <top style="double"/>
      <bottom style="medium"/>
    </border>
    <border>
      <left style="medium"/>
      <right/>
      <top style="hair">
        <color indexed="55"/>
      </top>
      <bottom>
        <color indexed="63"/>
      </bottom>
    </border>
    <border>
      <left style="thin"/>
      <right style="hair"/>
      <top style="hair">
        <color indexed="55"/>
      </top>
      <bottom>
        <color indexed="63"/>
      </bottom>
    </border>
    <border>
      <left style="hair"/>
      <right/>
      <top style="hair">
        <color indexed="55"/>
      </top>
      <bottom>
        <color indexed="63"/>
      </bottom>
    </border>
    <border>
      <left style="thin"/>
      <right style="medium"/>
      <top style="hair">
        <color indexed="55"/>
      </top>
      <bottom>
        <color indexed="63"/>
      </bottom>
    </border>
    <border>
      <left style="medium"/>
      <right style="thin"/>
      <top style="thin">
        <color theme="0" tint="-0.3499799966812134"/>
      </top>
      <bottom style="thin">
        <color theme="0" tint="-0.3499799966812134"/>
      </bottom>
    </border>
    <border>
      <left style="thin"/>
      <right/>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top style="thin">
        <color theme="0" tint="-0.3499799966812134"/>
      </top>
      <bottom style="double"/>
    </border>
    <border>
      <left style="thin"/>
      <right/>
      <top style="thin">
        <color theme="0" tint="-0.3499799966812134"/>
      </top>
      <bottom style="double"/>
    </border>
    <border>
      <left style="hair"/>
      <right style="thin"/>
      <top style="thin">
        <color theme="0" tint="-0.3499799966812134"/>
      </top>
      <bottom style="double"/>
    </border>
    <border>
      <left style="thin"/>
      <right style="hair"/>
      <top style="thin">
        <color theme="0" tint="-0.3499799966812134"/>
      </top>
      <bottom style="double"/>
    </border>
    <border>
      <left style="thin"/>
      <right style="medium"/>
      <top style="thin">
        <color theme="0" tint="-0.3499799966812134"/>
      </top>
      <bottom style="double"/>
    </border>
    <border>
      <left style="medium"/>
      <right/>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style="hair"/>
      <right/>
      <top style="thin">
        <color theme="0" tint="-0.3499799966812134"/>
      </top>
      <bottom style="thin">
        <color theme="0" tint="-0.3499799966812134"/>
      </bottom>
    </border>
    <border>
      <left style="hair"/>
      <right style="hair"/>
      <top style="thin">
        <color theme="0" tint="-0.3499799966812134"/>
      </top>
      <bottom style="double"/>
    </border>
    <border>
      <left style="hair"/>
      <right/>
      <top style="thin">
        <color theme="0" tint="-0.3499799966812134"/>
      </top>
      <bottom style="double"/>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thin"/>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medium"/>
      <right style="hair"/>
      <top style="thin"/>
      <bottom>
        <color indexed="63"/>
      </bottom>
    </border>
    <border>
      <left style="thin"/>
      <right style="medium"/>
      <top/>
      <bottom/>
    </border>
    <border>
      <left style="thin"/>
      <right style="medium"/>
      <top/>
      <bottom style="thin"/>
    </border>
    <border>
      <left style="thin"/>
      <right style="thin"/>
      <top style="hair"/>
      <bottom style="hair"/>
    </border>
    <border>
      <left style="thin"/>
      <right style="hair"/>
      <top style="hair"/>
      <bottom style="hair"/>
    </border>
    <border>
      <left style="hair"/>
      <right style="thin"/>
      <top style="hair"/>
      <bottom style="hair"/>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hair"/>
      <right/>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 fillId="0" borderId="0" applyNumberFormat="0" applyFill="0" applyBorder="0" applyAlignment="0" applyProtection="0"/>
    <xf numFmtId="0" fontId="45" fillId="32" borderId="0" applyNumberFormat="0" applyBorder="0" applyAlignment="0" applyProtection="0"/>
  </cellStyleXfs>
  <cellXfs count="234">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3" fontId="2" fillId="33" borderId="14" xfId="0" applyNumberFormat="1" applyFont="1" applyFill="1" applyBorder="1" applyAlignment="1">
      <alignment horizontal="right" vertical="center" indent="1"/>
    </xf>
    <xf numFmtId="3" fontId="2" fillId="33" borderId="15" xfId="0" applyNumberFormat="1" applyFont="1" applyFill="1" applyBorder="1" applyAlignment="1">
      <alignment horizontal="right" vertical="center" indent="1"/>
    </xf>
    <xf numFmtId="3" fontId="2" fillId="33" borderId="16" xfId="0" applyNumberFormat="1" applyFont="1" applyFill="1" applyBorder="1" applyAlignment="1">
      <alignment horizontal="right" vertical="center" indent="1"/>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center" vertical="center"/>
    </xf>
    <xf numFmtId="3" fontId="2" fillId="33" borderId="20" xfId="0" applyNumberFormat="1" applyFont="1" applyFill="1" applyBorder="1" applyAlignment="1">
      <alignment horizontal="right" vertical="center" indent="1"/>
    </xf>
    <xf numFmtId="0" fontId="2" fillId="0" borderId="21" xfId="0" applyFont="1" applyBorder="1" applyAlignment="1">
      <alignment horizontal="center" vertical="center"/>
    </xf>
    <xf numFmtId="0" fontId="2" fillId="0" borderId="22" xfId="0" applyFont="1" applyBorder="1" applyAlignment="1">
      <alignment horizontal="right" vertical="center"/>
    </xf>
    <xf numFmtId="0" fontId="6" fillId="0" borderId="22" xfId="0" applyFont="1" applyBorder="1" applyAlignment="1">
      <alignment horizontal="right" vertical="center"/>
    </xf>
    <xf numFmtId="0" fontId="2" fillId="0" borderId="23" xfId="0" applyFont="1" applyBorder="1" applyAlignment="1">
      <alignment horizontal="right" vertical="center"/>
    </xf>
    <xf numFmtId="3" fontId="2" fillId="0" borderId="22" xfId="0" applyNumberFormat="1" applyFont="1" applyBorder="1" applyAlignment="1">
      <alignment horizontal="right" vertical="center"/>
    </xf>
    <xf numFmtId="3" fontId="2" fillId="0" borderId="23" xfId="0" applyNumberFormat="1" applyFont="1" applyBorder="1" applyAlignment="1">
      <alignment horizontal="right" vertical="center"/>
    </xf>
    <xf numFmtId="3" fontId="2" fillId="34" borderId="24"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6" fillId="33" borderId="25" xfId="0" applyNumberFormat="1" applyFont="1" applyFill="1" applyBorder="1" applyAlignment="1">
      <alignment horizontal="right" vertical="center"/>
    </xf>
    <xf numFmtId="3" fontId="6" fillId="34"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4" borderId="28" xfId="0" applyNumberFormat="1" applyFont="1" applyFill="1" applyBorder="1" applyAlignment="1">
      <alignment horizontal="right" vertical="center"/>
    </xf>
    <xf numFmtId="3" fontId="2" fillId="34" borderId="29" xfId="0" applyNumberFormat="1" applyFont="1" applyFill="1" applyBorder="1" applyAlignment="1">
      <alignment horizontal="right" vertical="center"/>
    </xf>
    <xf numFmtId="3" fontId="2" fillId="34" borderId="30" xfId="0" applyNumberFormat="1" applyFont="1" applyFill="1" applyBorder="1" applyAlignment="1">
      <alignment horizontal="right" vertical="center"/>
    </xf>
    <xf numFmtId="3" fontId="6" fillId="34" borderId="30" xfId="0" applyNumberFormat="1" applyFont="1" applyFill="1" applyBorder="1" applyAlignment="1">
      <alignment horizontal="right" vertical="center"/>
    </xf>
    <xf numFmtId="3" fontId="2" fillId="34" borderId="31"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26" xfId="0" applyFont="1" applyBorder="1" applyAlignment="1">
      <alignment horizontal="distributed" vertical="center"/>
    </xf>
    <xf numFmtId="0" fontId="6" fillId="0" borderId="26" xfId="0" applyFont="1" applyBorder="1" applyAlignment="1">
      <alignment horizontal="distributed" vertical="center"/>
    </xf>
    <xf numFmtId="0" fontId="2" fillId="0" borderId="32" xfId="0" applyFont="1" applyBorder="1" applyAlignment="1">
      <alignment horizontal="distributed" vertical="center"/>
    </xf>
    <xf numFmtId="3" fontId="2" fillId="33"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3" fontId="6" fillId="33" borderId="36" xfId="0" applyNumberFormat="1" applyFont="1" applyFill="1" applyBorder="1" applyAlignment="1">
      <alignment horizontal="right" vertical="center"/>
    </xf>
    <xf numFmtId="3" fontId="6" fillId="34" borderId="37" xfId="0" applyNumberFormat="1" applyFont="1" applyFill="1" applyBorder="1" applyAlignment="1">
      <alignment horizontal="right" vertical="center"/>
    </xf>
    <xf numFmtId="3" fontId="6" fillId="34" borderId="38" xfId="0" applyNumberFormat="1" applyFont="1" applyFill="1" applyBorder="1" applyAlignment="1">
      <alignment horizontal="right" vertical="center"/>
    </xf>
    <xf numFmtId="0" fontId="6" fillId="0" borderId="39" xfId="0" applyFont="1" applyBorder="1" applyAlignment="1">
      <alignment horizontal="right" vertical="center"/>
    </xf>
    <xf numFmtId="3" fontId="2" fillId="33" borderId="40" xfId="0" applyNumberFormat="1" applyFont="1" applyFill="1" applyBorder="1" applyAlignment="1">
      <alignment horizontal="right" vertical="center"/>
    </xf>
    <xf numFmtId="3" fontId="2" fillId="33" borderId="4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0" fontId="2" fillId="0" borderId="43" xfId="0" applyFont="1" applyBorder="1" applyAlignment="1">
      <alignment horizontal="distributed" vertical="center"/>
    </xf>
    <xf numFmtId="3" fontId="2" fillId="33" borderId="44"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3" fontId="2" fillId="34" borderId="45" xfId="0" applyNumberFormat="1" applyFont="1" applyFill="1" applyBorder="1" applyAlignment="1">
      <alignment horizontal="right" vertical="center"/>
    </xf>
    <xf numFmtId="0" fontId="7" fillId="34" borderId="10" xfId="0" applyFont="1" applyFill="1" applyBorder="1" applyAlignment="1">
      <alignment horizontal="right" vertical="top"/>
    </xf>
    <xf numFmtId="0" fontId="7" fillId="33" borderId="46"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22" xfId="0" applyFont="1" applyBorder="1" applyAlignment="1">
      <alignment horizontal="center" vertical="center"/>
    </xf>
    <xf numFmtId="3" fontId="2" fillId="33" borderId="47" xfId="0" applyNumberFormat="1" applyFont="1" applyFill="1" applyBorder="1" applyAlignment="1">
      <alignment vertical="center"/>
    </xf>
    <xf numFmtId="3" fontId="2" fillId="33" borderId="25" xfId="0" applyNumberFormat="1" applyFont="1" applyFill="1" applyBorder="1" applyAlignment="1">
      <alignment vertical="center"/>
    </xf>
    <xf numFmtId="3" fontId="2" fillId="0" borderId="22" xfId="0" applyNumberFormat="1" applyFont="1" applyBorder="1" applyAlignment="1">
      <alignment horizontal="center" vertical="center"/>
    </xf>
    <xf numFmtId="0" fontId="2" fillId="0" borderId="48" xfId="0" applyFont="1" applyBorder="1" applyAlignment="1">
      <alignment horizontal="distributed" vertical="center"/>
    </xf>
    <xf numFmtId="3" fontId="2" fillId="33" borderId="49" xfId="0" applyNumberFormat="1" applyFont="1" applyFill="1" applyBorder="1" applyAlignment="1">
      <alignment horizontal="right" vertical="center"/>
    </xf>
    <xf numFmtId="3" fontId="2" fillId="34" borderId="48" xfId="0" applyNumberFormat="1" applyFont="1" applyFill="1" applyBorder="1" applyAlignment="1">
      <alignment horizontal="right" vertical="center"/>
    </xf>
    <xf numFmtId="3" fontId="2" fillId="34" borderId="50" xfId="0" applyNumberFormat="1" applyFont="1" applyFill="1" applyBorder="1" applyAlignment="1">
      <alignment horizontal="right" vertical="center"/>
    </xf>
    <xf numFmtId="0" fontId="7" fillId="0" borderId="51" xfId="0" applyFont="1" applyFill="1" applyBorder="1" applyAlignment="1">
      <alignment horizontal="center" vertical="center"/>
    </xf>
    <xf numFmtId="0" fontId="7" fillId="0" borderId="13" xfId="0" applyFont="1" applyFill="1" applyBorder="1" applyAlignment="1">
      <alignment horizontal="right" vertical="top"/>
    </xf>
    <xf numFmtId="0" fontId="7" fillId="34" borderId="21" xfId="0" applyFont="1" applyFill="1" applyBorder="1" applyAlignment="1">
      <alignment horizontal="right" vertical="top"/>
    </xf>
    <xf numFmtId="0" fontId="7" fillId="0" borderId="10" xfId="0" applyFont="1" applyFill="1" applyBorder="1" applyAlignment="1">
      <alignment horizontal="center" vertical="center"/>
    </xf>
    <xf numFmtId="3" fontId="2" fillId="33" borderId="52" xfId="0" applyNumberFormat="1" applyFont="1" applyFill="1" applyBorder="1" applyAlignment="1">
      <alignment horizontal="right" vertical="center"/>
    </xf>
    <xf numFmtId="0" fontId="2" fillId="0" borderId="51" xfId="0" applyFont="1" applyBorder="1" applyAlignment="1">
      <alignment horizontal="center" vertical="center"/>
    </xf>
    <xf numFmtId="0" fontId="7" fillId="33" borderId="13" xfId="0" applyFont="1" applyFill="1" applyBorder="1" applyAlignment="1">
      <alignment horizontal="right"/>
    </xf>
    <xf numFmtId="0" fontId="7" fillId="34" borderId="10" xfId="0" applyFont="1" applyFill="1" applyBorder="1" applyAlignment="1">
      <alignment horizontal="right"/>
    </xf>
    <xf numFmtId="0" fontId="7" fillId="34" borderId="21" xfId="0" applyFont="1" applyFill="1" applyBorder="1" applyAlignment="1">
      <alignment horizontal="right"/>
    </xf>
    <xf numFmtId="0" fontId="7" fillId="33" borderId="53" xfId="0" applyFont="1" applyFill="1" applyBorder="1" applyAlignment="1">
      <alignment horizontal="right"/>
    </xf>
    <xf numFmtId="0" fontId="7" fillId="33" borderId="54" xfId="0" applyFont="1" applyFill="1" applyBorder="1" applyAlignment="1">
      <alignment horizontal="right"/>
    </xf>
    <xf numFmtId="0" fontId="7" fillId="33" borderId="55" xfId="0" applyFont="1" applyFill="1" applyBorder="1" applyAlignment="1">
      <alignment horizontal="right"/>
    </xf>
    <xf numFmtId="0" fontId="7" fillId="33" borderId="56" xfId="0" applyFont="1" applyFill="1" applyBorder="1" applyAlignment="1">
      <alignment horizontal="right"/>
    </xf>
    <xf numFmtId="3" fontId="2" fillId="33" borderId="47" xfId="0" applyNumberFormat="1" applyFont="1" applyFill="1" applyBorder="1" applyAlignment="1">
      <alignment horizontal="right" vertical="center"/>
    </xf>
    <xf numFmtId="0" fontId="5" fillId="0" borderId="0" xfId="0" applyFont="1" applyAlignment="1">
      <alignment horizontal="center" vertical="top"/>
    </xf>
    <xf numFmtId="0" fontId="2" fillId="0" borderId="24"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57" xfId="0" applyFont="1" applyBorder="1" applyAlignment="1">
      <alignment horizontal="distributed" vertical="center" indent="1"/>
    </xf>
    <xf numFmtId="0" fontId="2" fillId="0" borderId="0" xfId="0" applyFont="1" applyFill="1" applyBorder="1" applyAlignment="1">
      <alignment horizontal="distributed"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0" xfId="0" applyFont="1" applyFill="1" applyAlignment="1">
      <alignment horizontal="left" vertical="top"/>
    </xf>
    <xf numFmtId="0" fontId="2" fillId="0" borderId="0" xfId="0" applyFont="1" applyBorder="1" applyAlignment="1">
      <alignment horizontal="left" vertical="top" wrapText="1"/>
    </xf>
    <xf numFmtId="3" fontId="2" fillId="0" borderId="0" xfId="0" applyNumberFormat="1" applyFont="1" applyFill="1" applyBorder="1" applyAlignment="1">
      <alignment horizontal="right" vertical="center" indent="1"/>
    </xf>
    <xf numFmtId="3" fontId="2" fillId="0" borderId="0" xfId="0" applyNumberFormat="1" applyFont="1" applyFill="1" applyAlignment="1">
      <alignment horizontal="left" vertical="center"/>
    </xf>
    <xf numFmtId="0" fontId="2" fillId="0" borderId="0" xfId="0" applyFont="1" applyFill="1" applyAlignment="1">
      <alignment horizontal="left" vertical="center"/>
    </xf>
    <xf numFmtId="0" fontId="2" fillId="0" borderId="0" xfId="61" applyFont="1" applyAlignment="1">
      <alignment horizontal="left" vertical="center"/>
      <protection/>
    </xf>
    <xf numFmtId="0" fontId="2" fillId="0" borderId="0" xfId="61" applyFont="1" applyAlignment="1">
      <alignment horizontal="left" vertical="top"/>
      <protection/>
    </xf>
    <xf numFmtId="0" fontId="0" fillId="0" borderId="0" xfId="61" applyFont="1">
      <alignment/>
      <protection/>
    </xf>
    <xf numFmtId="0" fontId="2" fillId="0" borderId="58" xfId="61" applyFont="1" applyBorder="1" applyAlignment="1">
      <alignment horizontal="distributed" vertical="center" indent="1"/>
      <protection/>
    </xf>
    <xf numFmtId="0" fontId="2" fillId="0" borderId="59" xfId="61" applyFont="1" applyBorder="1" applyAlignment="1">
      <alignment horizontal="distributed" vertical="center" indent="1"/>
      <protection/>
    </xf>
    <xf numFmtId="0" fontId="2" fillId="0" borderId="59" xfId="61" applyFont="1" applyBorder="1" applyAlignment="1">
      <alignment horizontal="center" vertical="center"/>
      <protection/>
    </xf>
    <xf numFmtId="0" fontId="2" fillId="0" borderId="60" xfId="61" applyFont="1" applyBorder="1" applyAlignment="1">
      <alignment horizontal="center" vertical="center"/>
      <protection/>
    </xf>
    <xf numFmtId="0" fontId="2" fillId="0" borderId="60" xfId="61" applyFont="1" applyBorder="1" applyAlignment="1">
      <alignment horizontal="centerContinuous" vertical="center" wrapText="1"/>
      <protection/>
    </xf>
    <xf numFmtId="0" fontId="0" fillId="0" borderId="0" xfId="61" applyFont="1" applyAlignment="1">
      <alignment horizontal="center"/>
      <protection/>
    </xf>
    <xf numFmtId="0" fontId="7" fillId="35" borderId="51" xfId="61" applyFont="1" applyFill="1" applyBorder="1" applyAlignment="1">
      <alignment horizontal="distributed" vertical="top"/>
      <protection/>
    </xf>
    <xf numFmtId="0" fontId="7" fillId="33" borderId="13" xfId="61" applyFont="1" applyFill="1" applyBorder="1" applyAlignment="1">
      <alignment horizontal="right" vertical="top"/>
      <protection/>
    </xf>
    <xf numFmtId="0" fontId="7" fillId="34" borderId="10" xfId="61" applyFont="1" applyFill="1" applyBorder="1" applyAlignment="1">
      <alignment horizontal="right" vertical="top"/>
      <protection/>
    </xf>
    <xf numFmtId="0" fontId="7" fillId="34" borderId="61" xfId="61" applyFont="1" applyFill="1" applyBorder="1" applyAlignment="1">
      <alignment horizontal="right" vertical="top"/>
      <protection/>
    </xf>
    <xf numFmtId="0" fontId="7" fillId="35" borderId="56" xfId="61" applyFont="1" applyFill="1" applyBorder="1" applyAlignment="1">
      <alignment horizontal="distributed" vertical="top"/>
      <protection/>
    </xf>
    <xf numFmtId="0" fontId="8" fillId="0" borderId="0" xfId="61" applyFont="1" applyAlignment="1">
      <alignment horizontal="right" vertical="top"/>
      <protection/>
    </xf>
    <xf numFmtId="0" fontId="2" fillId="36" borderId="62" xfId="61" applyFont="1" applyFill="1" applyBorder="1" applyAlignment="1">
      <alignment horizontal="distributed" vertical="center"/>
      <protection/>
    </xf>
    <xf numFmtId="177" fontId="2" fillId="33" borderId="52" xfId="61" applyNumberFormat="1" applyFont="1" applyFill="1" applyBorder="1" applyAlignment="1">
      <alignment horizontal="right" vertical="center"/>
      <protection/>
    </xf>
    <xf numFmtId="177" fontId="2" fillId="34" borderId="48" xfId="61" applyNumberFormat="1" applyFont="1" applyFill="1" applyBorder="1" applyAlignment="1">
      <alignment horizontal="right" vertical="center"/>
      <protection/>
    </xf>
    <xf numFmtId="177" fontId="2" fillId="34" borderId="63" xfId="61" applyNumberFormat="1" applyFont="1" applyFill="1" applyBorder="1" applyAlignment="1">
      <alignment horizontal="right" vertical="center"/>
      <protection/>
    </xf>
    <xf numFmtId="0" fontId="2" fillId="36" borderId="64" xfId="61" applyFont="1" applyFill="1" applyBorder="1" applyAlignment="1">
      <alignment horizontal="distributed" vertical="center"/>
      <protection/>
    </xf>
    <xf numFmtId="0" fontId="9" fillId="0" borderId="0" xfId="61" applyFont="1">
      <alignment/>
      <protection/>
    </xf>
    <xf numFmtId="0" fontId="2" fillId="36" borderId="65" xfId="61" applyFont="1" applyFill="1" applyBorder="1" applyAlignment="1">
      <alignment horizontal="distributed" vertical="center"/>
      <protection/>
    </xf>
    <xf numFmtId="177" fontId="2" fillId="33" borderId="66" xfId="61" applyNumberFormat="1" applyFont="1" applyFill="1" applyBorder="1" applyAlignment="1">
      <alignment horizontal="right" vertical="center"/>
      <protection/>
    </xf>
    <xf numFmtId="177" fontId="2" fillId="34" borderId="26" xfId="61" applyNumberFormat="1" applyFont="1" applyFill="1" applyBorder="1" applyAlignment="1">
      <alignment horizontal="right" vertical="center"/>
      <protection/>
    </xf>
    <xf numFmtId="177" fontId="2" fillId="34" borderId="67" xfId="61" applyNumberFormat="1" applyFont="1" applyFill="1" applyBorder="1" applyAlignment="1">
      <alignment horizontal="right" vertical="center"/>
      <protection/>
    </xf>
    <xf numFmtId="0" fontId="2" fillId="36" borderId="68" xfId="61" applyFont="1" applyFill="1" applyBorder="1" applyAlignment="1">
      <alignment horizontal="distributed" vertical="center"/>
      <protection/>
    </xf>
    <xf numFmtId="0" fontId="11" fillId="0" borderId="0" xfId="61" applyFont="1">
      <alignment/>
      <protection/>
    </xf>
    <xf numFmtId="0" fontId="6" fillId="0" borderId="69" xfId="61" applyFont="1" applyBorder="1" applyAlignment="1">
      <alignment horizontal="center" vertical="center"/>
      <protection/>
    </xf>
    <xf numFmtId="177" fontId="6" fillId="33" borderId="23" xfId="61" applyNumberFormat="1" applyFont="1" applyFill="1" applyBorder="1" applyAlignment="1">
      <alignment horizontal="right" vertical="center"/>
      <protection/>
    </xf>
    <xf numFmtId="177" fontId="6" fillId="34" borderId="34" xfId="61" applyNumberFormat="1" applyFont="1" applyFill="1" applyBorder="1" applyAlignment="1">
      <alignment horizontal="right" vertical="center"/>
      <protection/>
    </xf>
    <xf numFmtId="177" fontId="6" fillId="34" borderId="70" xfId="61" applyNumberFormat="1" applyFont="1" applyFill="1" applyBorder="1" applyAlignment="1">
      <alignment horizontal="right" vertical="center"/>
      <protection/>
    </xf>
    <xf numFmtId="0" fontId="6" fillId="0" borderId="16" xfId="61" applyFont="1" applyBorder="1" applyAlignment="1">
      <alignment horizontal="center" vertical="center"/>
      <protection/>
    </xf>
    <xf numFmtId="0" fontId="6" fillId="0" borderId="0" xfId="61" applyFont="1" applyFill="1" applyBorder="1" applyAlignment="1">
      <alignment horizontal="center" vertical="center"/>
      <protection/>
    </xf>
    <xf numFmtId="177" fontId="6" fillId="0" borderId="0" xfId="61" applyNumberFormat="1" applyFont="1" applyFill="1" applyBorder="1" applyAlignment="1">
      <alignment horizontal="right" vertical="center"/>
      <protection/>
    </xf>
    <xf numFmtId="0" fontId="9" fillId="0" borderId="0" xfId="61" applyFont="1" applyFill="1">
      <alignment/>
      <protection/>
    </xf>
    <xf numFmtId="0" fontId="2" fillId="0" borderId="0" xfId="61" applyFont="1" applyBorder="1" applyAlignment="1">
      <alignment horizontal="left"/>
      <protection/>
    </xf>
    <xf numFmtId="0" fontId="2" fillId="0" borderId="0" xfId="61" applyFont="1" applyAlignment="1">
      <alignment horizontal="left"/>
      <protection/>
    </xf>
    <xf numFmtId="0" fontId="0" fillId="0" borderId="0" xfId="61" applyFont="1" applyAlignment="1">
      <alignment/>
      <protection/>
    </xf>
    <xf numFmtId="0" fontId="0" fillId="0" borderId="0" xfId="61" applyFont="1" applyBorder="1">
      <alignment/>
      <protection/>
    </xf>
    <xf numFmtId="0" fontId="2" fillId="0" borderId="0" xfId="61" applyFont="1" applyBorder="1" applyAlignment="1">
      <alignment horizontal="left" vertical="center"/>
      <protection/>
    </xf>
    <xf numFmtId="0" fontId="8" fillId="0" borderId="0" xfId="61" applyFont="1" applyAlignment="1">
      <alignment vertical="top"/>
      <protection/>
    </xf>
    <xf numFmtId="0" fontId="0" fillId="0" borderId="0" xfId="61" applyFont="1" applyFill="1">
      <alignment/>
      <protection/>
    </xf>
    <xf numFmtId="0" fontId="2" fillId="0" borderId="0" xfId="61" applyFont="1" applyFill="1" applyBorder="1" applyAlignment="1">
      <alignment horizontal="left" vertical="center"/>
      <protection/>
    </xf>
    <xf numFmtId="0" fontId="2" fillId="0" borderId="59" xfId="61" applyFont="1" applyBorder="1" applyAlignment="1">
      <alignment horizontal="center" vertical="center" wrapText="1"/>
      <protection/>
    </xf>
    <xf numFmtId="0" fontId="7" fillId="33" borderId="46" xfId="61" applyFont="1" applyFill="1" applyBorder="1" applyAlignment="1">
      <alignment horizontal="right" vertical="top"/>
      <protection/>
    </xf>
    <xf numFmtId="0" fontId="7" fillId="33" borderId="61" xfId="61" applyFont="1" applyFill="1" applyBorder="1" applyAlignment="1">
      <alignment horizontal="right" vertical="top"/>
      <protection/>
    </xf>
    <xf numFmtId="177" fontId="2" fillId="33" borderId="49" xfId="61" applyNumberFormat="1" applyFont="1" applyFill="1" applyBorder="1" applyAlignment="1">
      <alignment horizontal="right" vertical="center"/>
      <protection/>
    </xf>
    <xf numFmtId="177" fontId="2" fillId="33" borderId="63" xfId="61" applyNumberFormat="1" applyFont="1" applyFill="1" applyBorder="1" applyAlignment="1">
      <alignment horizontal="right" vertical="center"/>
      <protection/>
    </xf>
    <xf numFmtId="177" fontId="2" fillId="33" borderId="25" xfId="61" applyNumberFormat="1" applyFont="1" applyFill="1" applyBorder="1" applyAlignment="1">
      <alignment horizontal="right" vertical="center"/>
      <protection/>
    </xf>
    <xf numFmtId="177" fontId="2" fillId="33" borderId="67" xfId="61" applyNumberFormat="1" applyFont="1" applyFill="1" applyBorder="1" applyAlignment="1">
      <alignment horizontal="right" vertical="center"/>
      <protection/>
    </xf>
    <xf numFmtId="177" fontId="6" fillId="33" borderId="71" xfId="61" applyNumberFormat="1" applyFont="1" applyFill="1" applyBorder="1" applyAlignment="1">
      <alignment horizontal="right" vertical="center"/>
      <protection/>
    </xf>
    <xf numFmtId="177" fontId="6" fillId="33" borderId="72" xfId="61" applyNumberFormat="1" applyFont="1" applyFill="1" applyBorder="1" applyAlignment="1">
      <alignment horizontal="right" vertical="center"/>
      <protection/>
    </xf>
    <xf numFmtId="177" fontId="6" fillId="33" borderId="73" xfId="61" applyNumberFormat="1" applyFont="1" applyFill="1" applyBorder="1" applyAlignment="1">
      <alignment horizontal="right" vertical="center"/>
      <protection/>
    </xf>
    <xf numFmtId="0" fontId="6" fillId="0" borderId="74" xfId="61" applyFont="1" applyBorder="1" applyAlignment="1">
      <alignment horizontal="center" vertical="center"/>
      <protection/>
    </xf>
    <xf numFmtId="0" fontId="6" fillId="36" borderId="75" xfId="61" applyFont="1" applyFill="1" applyBorder="1" applyAlignment="1">
      <alignment horizontal="distributed" vertical="center"/>
      <protection/>
    </xf>
    <xf numFmtId="177" fontId="6" fillId="33" borderId="76" xfId="61" applyNumberFormat="1" applyFont="1" applyFill="1" applyBorder="1" applyAlignment="1">
      <alignment horizontal="right" vertical="center"/>
      <protection/>
    </xf>
    <xf numFmtId="177" fontId="6" fillId="34" borderId="28" xfId="61" applyNumberFormat="1" applyFont="1" applyFill="1" applyBorder="1" applyAlignment="1">
      <alignment horizontal="right" vertical="center"/>
      <protection/>
    </xf>
    <xf numFmtId="177" fontId="6" fillId="34" borderId="77" xfId="61" applyNumberFormat="1" applyFont="1" applyFill="1" applyBorder="1" applyAlignment="1">
      <alignment horizontal="right" vertical="center"/>
      <protection/>
    </xf>
    <xf numFmtId="0" fontId="6" fillId="36" borderId="78" xfId="61" applyFont="1" applyFill="1" applyBorder="1" applyAlignment="1">
      <alignment horizontal="distributed" vertical="center"/>
      <protection/>
    </xf>
    <xf numFmtId="0" fontId="10" fillId="0" borderId="79" xfId="61" applyFont="1" applyFill="1" applyBorder="1" applyAlignment="1">
      <alignment horizontal="distributed" vertical="center"/>
      <protection/>
    </xf>
    <xf numFmtId="177" fontId="10" fillId="0" borderId="80" xfId="61" applyNumberFormat="1" applyFont="1" applyFill="1" applyBorder="1" applyAlignment="1">
      <alignment horizontal="right" vertical="center"/>
      <protection/>
    </xf>
    <xf numFmtId="177" fontId="10" fillId="0" borderId="81" xfId="61" applyNumberFormat="1" applyFont="1" applyFill="1" applyBorder="1" applyAlignment="1">
      <alignment horizontal="right" vertical="center"/>
      <protection/>
    </xf>
    <xf numFmtId="177" fontId="10" fillId="0" borderId="82" xfId="61" applyNumberFormat="1" applyFont="1" applyFill="1" applyBorder="1" applyAlignment="1">
      <alignment horizontal="right" vertical="center"/>
      <protection/>
    </xf>
    <xf numFmtId="0" fontId="10" fillId="0" borderId="83" xfId="61" applyFont="1" applyFill="1" applyBorder="1" applyAlignment="1">
      <alignment horizontal="center" vertical="center"/>
      <protection/>
    </xf>
    <xf numFmtId="0" fontId="10" fillId="0" borderId="84" xfId="61" applyFont="1" applyFill="1" applyBorder="1" applyAlignment="1">
      <alignment horizontal="distributed" vertical="center"/>
      <protection/>
    </xf>
    <xf numFmtId="177" fontId="2" fillId="0" borderId="85" xfId="61" applyNumberFormat="1" applyFont="1" applyFill="1" applyBorder="1" applyAlignment="1">
      <alignment horizontal="right" vertical="center"/>
      <protection/>
    </xf>
    <xf numFmtId="177" fontId="2" fillId="0" borderId="86" xfId="61" applyNumberFormat="1" applyFont="1" applyFill="1" applyBorder="1" applyAlignment="1">
      <alignment horizontal="right" vertical="center"/>
      <protection/>
    </xf>
    <xf numFmtId="177" fontId="2" fillId="0" borderId="87" xfId="61" applyNumberFormat="1" applyFont="1" applyFill="1" applyBorder="1" applyAlignment="1">
      <alignment horizontal="right" vertical="center"/>
      <protection/>
    </xf>
    <xf numFmtId="0" fontId="10" fillId="0" borderId="88" xfId="61" applyFont="1" applyFill="1" applyBorder="1" applyAlignment="1">
      <alignment horizontal="center" vertical="center"/>
      <protection/>
    </xf>
    <xf numFmtId="0" fontId="10" fillId="0" borderId="89" xfId="61" applyFont="1" applyFill="1" applyBorder="1" applyAlignment="1">
      <alignment horizontal="distributed" vertical="center"/>
      <protection/>
    </xf>
    <xf numFmtId="177" fontId="6" fillId="33" borderId="27" xfId="61" applyNumberFormat="1" applyFont="1" applyFill="1" applyBorder="1" applyAlignment="1">
      <alignment horizontal="right" vertical="center"/>
      <protection/>
    </xf>
    <xf numFmtId="177" fontId="6" fillId="33" borderId="77" xfId="61" applyNumberFormat="1" applyFont="1" applyFill="1" applyBorder="1" applyAlignment="1">
      <alignment horizontal="right" vertical="center"/>
      <protection/>
    </xf>
    <xf numFmtId="177" fontId="2" fillId="0" borderId="82" xfId="61" applyNumberFormat="1" applyFont="1" applyFill="1" applyBorder="1" applyAlignment="1">
      <alignment horizontal="right" vertical="center"/>
      <protection/>
    </xf>
    <xf numFmtId="177" fontId="2" fillId="0" borderId="90" xfId="61" applyNumberFormat="1" applyFont="1" applyFill="1" applyBorder="1" applyAlignment="1">
      <alignment horizontal="right" vertical="center"/>
      <protection/>
    </xf>
    <xf numFmtId="177" fontId="2" fillId="0" borderId="91" xfId="61" applyNumberFormat="1" applyFont="1" applyFill="1" applyBorder="1" applyAlignment="1">
      <alignment horizontal="right" vertical="center"/>
      <protection/>
    </xf>
    <xf numFmtId="177" fontId="2" fillId="0" borderId="92" xfId="61" applyNumberFormat="1" applyFont="1" applyFill="1" applyBorder="1" applyAlignment="1">
      <alignment horizontal="right" vertical="center"/>
      <protection/>
    </xf>
    <xf numFmtId="177" fontId="2" fillId="0" borderId="93" xfId="61" applyNumberFormat="1" applyFont="1" applyFill="1" applyBorder="1" applyAlignment="1">
      <alignment horizontal="right" vertical="center"/>
      <protection/>
    </xf>
    <xf numFmtId="0" fontId="5" fillId="0" borderId="0" xfId="0" applyFont="1" applyAlignment="1">
      <alignment horizontal="center" vertical="top"/>
    </xf>
    <xf numFmtId="0" fontId="2" fillId="0" borderId="0" xfId="0" applyFont="1" applyAlignment="1">
      <alignment horizontal="left" vertical="top"/>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3" xfId="0" applyFont="1" applyBorder="1" applyAlignment="1">
      <alignment horizontal="center" vertical="center"/>
    </xf>
    <xf numFmtId="0" fontId="2" fillId="0" borderId="46" xfId="0" applyFont="1" applyBorder="1" applyAlignment="1">
      <alignment horizontal="center" vertical="center"/>
    </xf>
    <xf numFmtId="0" fontId="2" fillId="0" borderId="102" xfId="0" applyFont="1" applyBorder="1" applyAlignment="1">
      <alignment horizontal="distributed" vertical="center" wrapText="1"/>
    </xf>
    <xf numFmtId="0" fontId="2" fillId="0" borderId="102" xfId="0" applyFont="1" applyBorder="1" applyAlignment="1">
      <alignment horizontal="distributed" vertical="center"/>
    </xf>
    <xf numFmtId="0" fontId="2" fillId="0" borderId="103" xfId="0" applyFont="1" applyBorder="1" applyAlignment="1">
      <alignment horizontal="distributed" vertical="center"/>
    </xf>
    <xf numFmtId="0" fontId="2" fillId="0" borderId="104" xfId="0" applyFont="1" applyBorder="1" applyAlignment="1">
      <alignment horizontal="distributed" vertical="center" wrapText="1"/>
    </xf>
    <xf numFmtId="0" fontId="2" fillId="0" borderId="105" xfId="0" applyFont="1" applyBorder="1" applyAlignment="1">
      <alignment horizontal="distributed" vertical="center"/>
    </xf>
    <xf numFmtId="0" fontId="6" fillId="0" borderId="106" xfId="0" applyFont="1" applyBorder="1" applyAlignment="1">
      <alignment horizontal="distributed" vertical="center"/>
    </xf>
    <xf numFmtId="0" fontId="6" fillId="0" borderId="107" xfId="0" applyFont="1" applyBorder="1" applyAlignment="1">
      <alignment horizontal="distributed" vertical="center"/>
    </xf>
    <xf numFmtId="0" fontId="2" fillId="0" borderId="69" xfId="0" applyFont="1" applyBorder="1" applyAlignment="1">
      <alignment horizontal="distributed" vertical="center"/>
    </xf>
    <xf numFmtId="0" fontId="2" fillId="0" borderId="108"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04"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03" xfId="0" applyFont="1" applyBorder="1" applyAlignment="1">
      <alignment horizontal="center" vertical="center"/>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57" xfId="61" applyFont="1" applyBorder="1" applyAlignment="1">
      <alignment horizontal="distributed" vertical="center" wrapText="1"/>
      <protection/>
    </xf>
    <xf numFmtId="0" fontId="2" fillId="0" borderId="116" xfId="61" applyFont="1" applyBorder="1" applyAlignment="1">
      <alignment horizontal="distributed" vertical="center" wrapText="1"/>
      <protection/>
    </xf>
    <xf numFmtId="0" fontId="2" fillId="0" borderId="117" xfId="61" applyFont="1" applyBorder="1" applyAlignment="1">
      <alignment horizontal="distributed" vertical="center" wrapText="1"/>
      <protection/>
    </xf>
    <xf numFmtId="0" fontId="2" fillId="0" borderId="118" xfId="61" applyFont="1" applyBorder="1" applyAlignment="1">
      <alignment horizontal="center" vertical="center"/>
      <protection/>
    </xf>
    <xf numFmtId="0" fontId="2" fillId="0" borderId="119" xfId="61" applyFont="1" applyBorder="1" applyAlignment="1">
      <alignment horizontal="center" vertical="center"/>
      <protection/>
    </xf>
    <xf numFmtId="0" fontId="2" fillId="0" borderId="120" xfId="61" applyFont="1" applyBorder="1" applyAlignment="1">
      <alignment horizontal="center" vertical="center"/>
      <protection/>
    </xf>
    <xf numFmtId="0" fontId="2" fillId="0" borderId="0" xfId="61" applyFont="1" applyBorder="1" applyAlignment="1">
      <alignment horizontal="left"/>
      <protection/>
    </xf>
    <xf numFmtId="0" fontId="2" fillId="0" borderId="0" xfId="61" applyFont="1" applyAlignment="1">
      <alignment horizontal="left" vertical="center"/>
      <protection/>
    </xf>
    <xf numFmtId="0" fontId="2" fillId="0" borderId="94" xfId="61" applyFont="1" applyBorder="1" applyAlignment="1">
      <alignment horizontal="distributed" vertical="center"/>
      <protection/>
    </xf>
    <xf numFmtId="0" fontId="2" fillId="0" borderId="96" xfId="61" applyFont="1" applyBorder="1" applyAlignment="1">
      <alignment horizontal="distributed" vertical="center"/>
      <protection/>
    </xf>
    <xf numFmtId="0" fontId="2" fillId="0" borderId="121" xfId="61" applyFont="1" applyBorder="1" applyAlignment="1">
      <alignment horizontal="distributed" vertical="center"/>
      <protection/>
    </xf>
    <xf numFmtId="0" fontId="2" fillId="0" borderId="122" xfId="61" applyFont="1" applyBorder="1" applyAlignment="1">
      <alignment horizontal="center" vertical="center"/>
      <protection/>
    </xf>
    <xf numFmtId="0" fontId="2" fillId="0" borderId="123" xfId="61" applyFont="1" applyBorder="1" applyAlignment="1">
      <alignment horizontal="center" vertical="center"/>
      <protection/>
    </xf>
    <xf numFmtId="0" fontId="2" fillId="0" borderId="124" xfId="61" applyFont="1" applyBorder="1" applyAlignment="1">
      <alignment horizontal="center" vertical="center"/>
      <protection/>
    </xf>
    <xf numFmtId="0" fontId="2" fillId="0" borderId="125" xfId="61" applyFont="1" applyBorder="1" applyAlignment="1">
      <alignment horizontal="center" vertical="center"/>
      <protection/>
    </xf>
    <xf numFmtId="0" fontId="2" fillId="0" borderId="123" xfId="61" applyFont="1" applyBorder="1" applyAlignment="1">
      <alignment horizontal="center" vertical="center" wrapText="1"/>
      <protection/>
    </xf>
    <xf numFmtId="0" fontId="2" fillId="0" borderId="0" xfId="61" applyFont="1" applyFill="1" applyBorder="1" applyAlignment="1">
      <alignment horizontal="left" vertical="center"/>
      <protection/>
    </xf>
    <xf numFmtId="0" fontId="2" fillId="0" borderId="126" xfId="61" applyFont="1" applyBorder="1" applyAlignment="1">
      <alignment horizontal="left" vertical="center"/>
      <protection/>
    </xf>
    <xf numFmtId="0" fontId="2" fillId="0" borderId="122" xfId="61" applyFont="1" applyBorder="1" applyAlignment="1">
      <alignment horizontal="center" vertical="center" wrapText="1"/>
      <protection/>
    </xf>
    <xf numFmtId="0" fontId="2" fillId="0" borderId="0" xfId="61" applyFont="1" applyBorder="1" applyAlignment="1">
      <alignment horizontal="left" vertical="center"/>
      <protection/>
    </xf>
    <xf numFmtId="0" fontId="2" fillId="0" borderId="127" xfId="61" applyFont="1" applyBorder="1" applyAlignment="1">
      <alignment horizontal="center" vertical="center"/>
      <protection/>
    </xf>
    <xf numFmtId="0" fontId="2" fillId="0" borderId="128" xfId="61" applyFont="1" applyBorder="1" applyAlignment="1">
      <alignment horizontal="center" vertical="center"/>
      <protection/>
    </xf>
    <xf numFmtId="0" fontId="2" fillId="0" borderId="129" xfId="61" applyFont="1" applyBorder="1" applyAlignment="1">
      <alignment horizontal="distributed" vertical="center" wrapText="1"/>
      <protection/>
    </xf>
    <xf numFmtId="0" fontId="2" fillId="0" borderId="130" xfId="61" applyFont="1" applyBorder="1" applyAlignment="1">
      <alignment horizontal="distributed" vertical="center"/>
      <protection/>
    </xf>
    <xf numFmtId="0" fontId="2" fillId="0" borderId="131" xfId="61" applyFont="1" applyBorder="1" applyAlignment="1">
      <alignment horizontal="distributed" vertical="center" wrapText="1"/>
      <protection/>
    </xf>
    <xf numFmtId="0" fontId="2" fillId="0" borderId="132" xfId="61" applyFont="1" applyBorder="1" applyAlignment="1">
      <alignment horizontal="distributed" vertical="center"/>
      <protection/>
    </xf>
    <xf numFmtId="0" fontId="2" fillId="0" borderId="133" xfId="61" applyFont="1" applyBorder="1" applyAlignment="1">
      <alignment horizontal="distributed" vertical="center" wrapText="1"/>
      <protection/>
    </xf>
    <xf numFmtId="0" fontId="2" fillId="0" borderId="134" xfId="61" applyFont="1" applyBorder="1" applyAlignment="1">
      <alignment horizontal="distributed" vertical="center" wrapText="1"/>
      <protection/>
    </xf>
    <xf numFmtId="0" fontId="2" fillId="0" borderId="60"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9"/>
  <sheetViews>
    <sheetView showGridLines="0" tabSelected="1" view="pageBreakPreview" zoomScaleSheetLayoutView="100" workbookViewId="0" topLeftCell="A1">
      <selection activeCell="K11" sqref="K11"/>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171" t="s">
        <v>0</v>
      </c>
      <c r="B1" s="171"/>
      <c r="C1" s="171"/>
      <c r="D1" s="171"/>
      <c r="E1" s="171"/>
      <c r="F1" s="171"/>
      <c r="G1" s="171"/>
      <c r="H1" s="171"/>
      <c r="I1" s="171"/>
      <c r="J1" s="171"/>
      <c r="K1" s="171"/>
    </row>
    <row r="2" spans="1:11" ht="15">
      <c r="A2" s="79"/>
      <c r="B2" s="79"/>
      <c r="C2" s="79"/>
      <c r="D2" s="79"/>
      <c r="E2" s="79"/>
      <c r="F2" s="79"/>
      <c r="G2" s="79"/>
      <c r="H2" s="79"/>
      <c r="I2" s="79"/>
      <c r="J2" s="79"/>
      <c r="K2" s="79"/>
    </row>
    <row r="3" spans="1:11" ht="12" thickBot="1">
      <c r="A3" s="172" t="s">
        <v>28</v>
      </c>
      <c r="B3" s="172"/>
      <c r="C3" s="172"/>
      <c r="D3" s="172"/>
      <c r="E3" s="172"/>
      <c r="F3" s="172"/>
      <c r="G3" s="172"/>
      <c r="H3" s="172"/>
      <c r="I3" s="172"/>
      <c r="J3" s="172"/>
      <c r="K3" s="172"/>
    </row>
    <row r="4" spans="1:11" ht="24" customHeight="1">
      <c r="A4" s="173" t="s">
        <v>1</v>
      </c>
      <c r="B4" s="174"/>
      <c r="C4" s="177" t="s">
        <v>14</v>
      </c>
      <c r="D4" s="178"/>
      <c r="E4" s="179"/>
      <c r="F4" s="177" t="s">
        <v>15</v>
      </c>
      <c r="G4" s="178"/>
      <c r="H4" s="179"/>
      <c r="I4" s="177" t="s">
        <v>16</v>
      </c>
      <c r="J4" s="178"/>
      <c r="K4" s="180"/>
    </row>
    <row r="5" spans="1:11" ht="24" customHeight="1">
      <c r="A5" s="175"/>
      <c r="B5" s="176"/>
      <c r="C5" s="181" t="s">
        <v>2</v>
      </c>
      <c r="D5" s="182"/>
      <c r="E5" s="6" t="s">
        <v>3</v>
      </c>
      <c r="F5" s="181" t="s">
        <v>2</v>
      </c>
      <c r="G5" s="182"/>
      <c r="H5" s="6" t="s">
        <v>3</v>
      </c>
      <c r="I5" s="181" t="s">
        <v>2</v>
      </c>
      <c r="J5" s="182"/>
      <c r="K5" s="18" t="s">
        <v>3</v>
      </c>
    </row>
    <row r="6" spans="1:11" ht="12" customHeight="1">
      <c r="A6" s="65"/>
      <c r="B6" s="68"/>
      <c r="C6" s="66"/>
      <c r="D6" s="55" t="s">
        <v>30</v>
      </c>
      <c r="E6" s="54" t="s">
        <v>29</v>
      </c>
      <c r="F6" s="66"/>
      <c r="G6" s="55" t="s">
        <v>30</v>
      </c>
      <c r="H6" s="54" t="s">
        <v>29</v>
      </c>
      <c r="I6" s="66"/>
      <c r="J6" s="55" t="s">
        <v>30</v>
      </c>
      <c r="K6" s="67" t="s">
        <v>29</v>
      </c>
    </row>
    <row r="7" spans="1:11" ht="30" customHeight="1">
      <c r="A7" s="183" t="s">
        <v>31</v>
      </c>
      <c r="B7" s="61" t="s">
        <v>17</v>
      </c>
      <c r="C7" s="19"/>
      <c r="D7" s="62">
        <v>21874</v>
      </c>
      <c r="E7" s="63">
        <v>6908445</v>
      </c>
      <c r="F7" s="22"/>
      <c r="G7" s="62">
        <v>49763</v>
      </c>
      <c r="H7" s="63">
        <v>182659501</v>
      </c>
      <c r="I7" s="22"/>
      <c r="J7" s="62">
        <v>71637</v>
      </c>
      <c r="K7" s="64">
        <v>189567946</v>
      </c>
    </row>
    <row r="8" spans="1:11" ht="30" customHeight="1">
      <c r="A8" s="184"/>
      <c r="B8" s="36" t="s">
        <v>18</v>
      </c>
      <c r="C8" s="19"/>
      <c r="D8" s="25">
        <v>36486</v>
      </c>
      <c r="E8" s="26">
        <v>8454531</v>
      </c>
      <c r="F8" s="22"/>
      <c r="G8" s="25">
        <v>23560</v>
      </c>
      <c r="H8" s="26">
        <v>8426413</v>
      </c>
      <c r="I8" s="22"/>
      <c r="J8" s="25">
        <v>60046</v>
      </c>
      <c r="K8" s="32">
        <v>16880944</v>
      </c>
    </row>
    <row r="9" spans="1:11" s="3" customFormat="1" ht="30" customHeight="1">
      <c r="A9" s="184"/>
      <c r="B9" s="37" t="s">
        <v>19</v>
      </c>
      <c r="C9" s="20"/>
      <c r="D9" s="27">
        <v>58360</v>
      </c>
      <c r="E9" s="28">
        <v>15362976</v>
      </c>
      <c r="F9" s="20"/>
      <c r="G9" s="27">
        <v>73323</v>
      </c>
      <c r="H9" s="28">
        <v>191085914</v>
      </c>
      <c r="I9" s="20"/>
      <c r="J9" s="27">
        <v>131683</v>
      </c>
      <c r="K9" s="33">
        <v>206448890</v>
      </c>
    </row>
    <row r="10" spans="1:11" ht="30" customHeight="1">
      <c r="A10" s="185"/>
      <c r="B10" s="38" t="s">
        <v>20</v>
      </c>
      <c r="C10" s="19"/>
      <c r="D10" s="29">
        <v>1626</v>
      </c>
      <c r="E10" s="30">
        <v>589703</v>
      </c>
      <c r="F10" s="19"/>
      <c r="G10" s="29">
        <v>2552</v>
      </c>
      <c r="H10" s="30">
        <v>7597139</v>
      </c>
      <c r="I10" s="19"/>
      <c r="J10" s="29">
        <v>4178</v>
      </c>
      <c r="K10" s="34">
        <v>8186842</v>
      </c>
    </row>
    <row r="11" spans="1:11" ht="30" customHeight="1">
      <c r="A11" s="186" t="s">
        <v>32</v>
      </c>
      <c r="B11" s="80" t="s">
        <v>21</v>
      </c>
      <c r="C11" s="9"/>
      <c r="D11" s="78">
        <v>2716</v>
      </c>
      <c r="E11" s="24">
        <v>393628</v>
      </c>
      <c r="F11" s="56"/>
      <c r="G11" s="58">
        <v>3360</v>
      </c>
      <c r="H11" s="24">
        <v>752953</v>
      </c>
      <c r="I11" s="56"/>
      <c r="J11" s="58">
        <v>6076</v>
      </c>
      <c r="K11" s="31">
        <v>1146581</v>
      </c>
    </row>
    <row r="12" spans="1:11" ht="30" customHeight="1">
      <c r="A12" s="187"/>
      <c r="B12" s="81" t="s">
        <v>22</v>
      </c>
      <c r="C12" s="57"/>
      <c r="D12" s="25">
        <v>277</v>
      </c>
      <c r="E12" s="26">
        <v>47377</v>
      </c>
      <c r="F12" s="60"/>
      <c r="G12" s="59">
        <v>425</v>
      </c>
      <c r="H12" s="26">
        <v>451874</v>
      </c>
      <c r="I12" s="60"/>
      <c r="J12" s="59">
        <v>702</v>
      </c>
      <c r="K12" s="32">
        <v>499251</v>
      </c>
    </row>
    <row r="13" spans="1:11" s="3" customFormat="1" ht="30" customHeight="1">
      <c r="A13" s="188" t="s">
        <v>6</v>
      </c>
      <c r="B13" s="189"/>
      <c r="C13" s="45" t="s">
        <v>13</v>
      </c>
      <c r="D13" s="42">
        <v>61066</v>
      </c>
      <c r="E13" s="43">
        <v>15119524</v>
      </c>
      <c r="F13" s="45" t="s">
        <v>13</v>
      </c>
      <c r="G13" s="42">
        <v>76381</v>
      </c>
      <c r="H13" s="43">
        <v>183789854</v>
      </c>
      <c r="I13" s="45" t="s">
        <v>13</v>
      </c>
      <c r="J13" s="42">
        <v>137447</v>
      </c>
      <c r="K13" s="44">
        <v>198909378</v>
      </c>
    </row>
    <row r="14" spans="1:11" ht="30" customHeight="1" thickBot="1">
      <c r="A14" s="190" t="s">
        <v>7</v>
      </c>
      <c r="B14" s="191"/>
      <c r="C14" s="21"/>
      <c r="D14" s="39">
        <v>2583</v>
      </c>
      <c r="E14" s="40">
        <v>79050</v>
      </c>
      <c r="F14" s="23"/>
      <c r="G14" s="39">
        <v>2599</v>
      </c>
      <c r="H14" s="40">
        <v>129015</v>
      </c>
      <c r="I14" s="23"/>
      <c r="J14" s="39">
        <v>5182</v>
      </c>
      <c r="K14" s="41">
        <v>208065</v>
      </c>
    </row>
    <row r="15" spans="1:11" s="89" customFormat="1" ht="3.75" customHeight="1">
      <c r="A15" s="86"/>
      <c r="B15" s="86"/>
      <c r="C15" s="87"/>
      <c r="D15" s="88"/>
      <c r="E15" s="88"/>
      <c r="F15" s="88"/>
      <c r="G15" s="88"/>
      <c r="H15" s="88"/>
      <c r="I15" s="88"/>
      <c r="J15" s="88"/>
      <c r="K15" s="88"/>
    </row>
    <row r="16" spans="1:11" s="4" customFormat="1" ht="37.5" customHeight="1">
      <c r="A16" s="90" t="s">
        <v>34</v>
      </c>
      <c r="B16" s="192" t="s">
        <v>159</v>
      </c>
      <c r="C16" s="192"/>
      <c r="D16" s="192"/>
      <c r="E16" s="192"/>
      <c r="F16" s="192"/>
      <c r="G16" s="192"/>
      <c r="H16" s="192"/>
      <c r="I16" s="192"/>
      <c r="J16" s="192"/>
      <c r="K16" s="192"/>
    </row>
    <row r="17" spans="2:11" ht="45" customHeight="1">
      <c r="B17" s="193" t="s">
        <v>160</v>
      </c>
      <c r="C17" s="193"/>
      <c r="D17" s="193"/>
      <c r="E17" s="193"/>
      <c r="F17" s="193"/>
      <c r="G17" s="193"/>
      <c r="H17" s="193"/>
      <c r="I17" s="193"/>
      <c r="J17" s="193"/>
      <c r="K17" s="193"/>
    </row>
    <row r="18" spans="1:2" ht="14.25" customHeight="1">
      <c r="A18" s="1" t="s">
        <v>154</v>
      </c>
      <c r="B18" s="1" t="s">
        <v>36</v>
      </c>
    </row>
    <row r="19" spans="1:2" ht="11.25">
      <c r="A19" s="84" t="s">
        <v>155</v>
      </c>
      <c r="B19" s="1" t="s">
        <v>37</v>
      </c>
    </row>
  </sheetData>
  <sheetProtection/>
  <mergeCells count="15">
    <mergeCell ref="A7:A10"/>
    <mergeCell ref="A11:A12"/>
    <mergeCell ref="A13:B13"/>
    <mergeCell ref="A14:B14"/>
    <mergeCell ref="B16:K16"/>
    <mergeCell ref="B17:K17"/>
    <mergeCell ref="A1:K1"/>
    <mergeCell ref="A3:K3"/>
    <mergeCell ref="A4:B5"/>
    <mergeCell ref="C4:E4"/>
    <mergeCell ref="F4:H4"/>
    <mergeCell ref="I4:K4"/>
    <mergeCell ref="C5:D5"/>
    <mergeCell ref="F5:G5"/>
    <mergeCell ref="I5:J5"/>
  </mergeCells>
  <printOptions horizontalCentered="1"/>
  <pageMargins left="0.7874015748031497" right="0.6299212598425197" top="0.984251968503937" bottom="0.984251968503937" header="0.5118110236220472" footer="0.5118110236220472"/>
  <pageSetup fitToHeight="1" fitToWidth="1" horizontalDpi="600" verticalDpi="600" orientation="portrait" paperSize="9" r:id="rId1"/>
  <headerFooter alignWithMargins="0">
    <oddFooter>&amp;R熊本国税局
消費税
（H24）</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view="pageBreakPreview" zoomScaleSheetLayoutView="100" workbookViewId="0" topLeftCell="A1">
      <selection activeCell="D10" sqref="D10"/>
    </sheetView>
  </sheetViews>
  <sheetFormatPr defaultColWidth="9.00390625" defaultRowHeight="13.5"/>
  <cols>
    <col min="1" max="1" width="10.625" style="83" customWidth="1"/>
    <col min="2" max="2" width="15.625" style="83" customWidth="1"/>
    <col min="3" max="3" width="8.625" style="83" customWidth="1"/>
    <col min="4" max="4" width="10.625" style="83" customWidth="1"/>
    <col min="5" max="5" width="8.625" style="83" customWidth="1"/>
    <col min="6" max="6" width="12.875" style="83" bestFit="1" customWidth="1"/>
    <col min="7" max="7" width="8.625" style="83" customWidth="1"/>
    <col min="8" max="8" width="12.875" style="83" bestFit="1" customWidth="1"/>
    <col min="9" max="16384" width="9.00390625" style="83" customWidth="1"/>
  </cols>
  <sheetData>
    <row r="1" s="1" customFormat="1" ht="12" thickBot="1">
      <c r="A1" s="1" t="s">
        <v>33</v>
      </c>
    </row>
    <row r="2" spans="1:8" s="1" customFormat="1" ht="15" customHeight="1">
      <c r="A2" s="173" t="s">
        <v>1</v>
      </c>
      <c r="B2" s="174"/>
      <c r="C2" s="194" t="s">
        <v>14</v>
      </c>
      <c r="D2" s="194"/>
      <c r="E2" s="194" t="s">
        <v>23</v>
      </c>
      <c r="F2" s="194"/>
      <c r="G2" s="195" t="s">
        <v>24</v>
      </c>
      <c r="H2" s="196"/>
    </row>
    <row r="3" spans="1:8" s="1" customFormat="1" ht="15" customHeight="1">
      <c r="A3" s="175"/>
      <c r="B3" s="176"/>
      <c r="C3" s="9" t="s">
        <v>25</v>
      </c>
      <c r="D3" s="6" t="s">
        <v>26</v>
      </c>
      <c r="E3" s="9" t="s">
        <v>25</v>
      </c>
      <c r="F3" s="7" t="s">
        <v>26</v>
      </c>
      <c r="G3" s="9" t="s">
        <v>25</v>
      </c>
      <c r="H3" s="8" t="s">
        <v>26</v>
      </c>
    </row>
    <row r="4" spans="1:8" s="10" customFormat="1" ht="15" customHeight="1">
      <c r="A4" s="70"/>
      <c r="B4" s="6"/>
      <c r="C4" s="71" t="s">
        <v>4</v>
      </c>
      <c r="D4" s="72" t="s">
        <v>5</v>
      </c>
      <c r="E4" s="71" t="s">
        <v>4</v>
      </c>
      <c r="F4" s="72" t="s">
        <v>5</v>
      </c>
      <c r="G4" s="71" t="s">
        <v>4</v>
      </c>
      <c r="H4" s="73" t="s">
        <v>5</v>
      </c>
    </row>
    <row r="5" spans="1:8" s="82" customFormat="1" ht="30" customHeight="1">
      <c r="A5" s="199" t="s">
        <v>161</v>
      </c>
      <c r="B5" s="61" t="s">
        <v>11</v>
      </c>
      <c r="C5" s="69">
        <v>70915</v>
      </c>
      <c r="D5" s="63">
        <v>17335379</v>
      </c>
      <c r="E5" s="69">
        <v>76675</v>
      </c>
      <c r="F5" s="63">
        <v>197101153</v>
      </c>
      <c r="G5" s="69">
        <v>147590</v>
      </c>
      <c r="H5" s="64">
        <v>214436532</v>
      </c>
    </row>
    <row r="6" spans="1:8" s="82" customFormat="1" ht="30" customHeight="1">
      <c r="A6" s="200"/>
      <c r="B6" s="38" t="s">
        <v>12</v>
      </c>
      <c r="C6" s="47">
        <v>2437</v>
      </c>
      <c r="D6" s="48">
        <v>1629181</v>
      </c>
      <c r="E6" s="47">
        <v>2867</v>
      </c>
      <c r="F6" s="48">
        <v>12745346</v>
      </c>
      <c r="G6" s="47">
        <v>5304</v>
      </c>
      <c r="H6" s="49">
        <v>14374527</v>
      </c>
    </row>
    <row r="7" spans="1:8" s="82" customFormat="1" ht="30" customHeight="1">
      <c r="A7" s="201" t="s">
        <v>162</v>
      </c>
      <c r="B7" s="35" t="s">
        <v>11</v>
      </c>
      <c r="C7" s="46">
        <v>69889</v>
      </c>
      <c r="D7" s="24">
        <v>16607300</v>
      </c>
      <c r="E7" s="46">
        <v>75735</v>
      </c>
      <c r="F7" s="24">
        <v>195735988</v>
      </c>
      <c r="G7" s="46">
        <v>145624</v>
      </c>
      <c r="H7" s="31">
        <v>212343289</v>
      </c>
    </row>
    <row r="8" spans="1:8" s="82" customFormat="1" ht="30" customHeight="1">
      <c r="A8" s="202"/>
      <c r="B8" s="38" t="s">
        <v>12</v>
      </c>
      <c r="C8" s="47">
        <v>2244</v>
      </c>
      <c r="D8" s="48">
        <v>1409991</v>
      </c>
      <c r="E8" s="47">
        <v>2704</v>
      </c>
      <c r="F8" s="48">
        <v>9063416</v>
      </c>
      <c r="G8" s="47">
        <v>4948</v>
      </c>
      <c r="H8" s="49">
        <v>10473407</v>
      </c>
    </row>
    <row r="9" spans="1:8" s="82" customFormat="1" ht="30" customHeight="1">
      <c r="A9" s="197" t="s">
        <v>35</v>
      </c>
      <c r="B9" s="35" t="s">
        <v>11</v>
      </c>
      <c r="C9" s="46">
        <v>66713</v>
      </c>
      <c r="D9" s="24">
        <v>16139396</v>
      </c>
      <c r="E9" s="46">
        <v>75091</v>
      </c>
      <c r="F9" s="24">
        <v>194306141</v>
      </c>
      <c r="G9" s="46">
        <v>141804</v>
      </c>
      <c r="H9" s="31">
        <v>210445537</v>
      </c>
    </row>
    <row r="10" spans="1:8" s="82" customFormat="1" ht="30" customHeight="1">
      <c r="A10" s="200"/>
      <c r="B10" s="38" t="s">
        <v>12</v>
      </c>
      <c r="C10" s="47">
        <v>2006</v>
      </c>
      <c r="D10" s="48">
        <v>966009</v>
      </c>
      <c r="E10" s="47">
        <v>2473</v>
      </c>
      <c r="F10" s="48">
        <v>7497826</v>
      </c>
      <c r="G10" s="47">
        <v>4479</v>
      </c>
      <c r="H10" s="49">
        <v>8463835</v>
      </c>
    </row>
    <row r="11" spans="1:8" s="82" customFormat="1" ht="30" customHeight="1">
      <c r="A11" s="197" t="s">
        <v>38</v>
      </c>
      <c r="B11" s="35" t="s">
        <v>11</v>
      </c>
      <c r="C11" s="46">
        <v>60624</v>
      </c>
      <c r="D11" s="24">
        <v>15254726</v>
      </c>
      <c r="E11" s="46">
        <v>74001</v>
      </c>
      <c r="F11" s="24">
        <v>192658088</v>
      </c>
      <c r="G11" s="46">
        <v>134625</v>
      </c>
      <c r="H11" s="31">
        <v>207912814</v>
      </c>
    </row>
    <row r="12" spans="1:8" s="82" customFormat="1" ht="30" customHeight="1">
      <c r="A12" s="200"/>
      <c r="B12" s="38" t="s">
        <v>12</v>
      </c>
      <c r="C12" s="47">
        <v>1985</v>
      </c>
      <c r="D12" s="48">
        <v>854657</v>
      </c>
      <c r="E12" s="47">
        <v>2416</v>
      </c>
      <c r="F12" s="48">
        <v>6866253</v>
      </c>
      <c r="G12" s="47">
        <v>4401</v>
      </c>
      <c r="H12" s="49">
        <v>7720911</v>
      </c>
    </row>
    <row r="13" spans="1:8" s="1" customFormat="1" ht="30" customHeight="1">
      <c r="A13" s="197" t="s">
        <v>163</v>
      </c>
      <c r="B13" s="35" t="s">
        <v>11</v>
      </c>
      <c r="C13" s="46">
        <v>58360</v>
      </c>
      <c r="D13" s="24">
        <v>15362976</v>
      </c>
      <c r="E13" s="46">
        <v>73323</v>
      </c>
      <c r="F13" s="24">
        <v>191085914</v>
      </c>
      <c r="G13" s="46">
        <v>131683</v>
      </c>
      <c r="H13" s="31">
        <v>206448890</v>
      </c>
    </row>
    <row r="14" spans="1:8" s="1" customFormat="1" ht="30" customHeight="1" thickBot="1">
      <c r="A14" s="198"/>
      <c r="B14" s="50" t="s">
        <v>12</v>
      </c>
      <c r="C14" s="51">
        <v>1626</v>
      </c>
      <c r="D14" s="52">
        <v>589703</v>
      </c>
      <c r="E14" s="51">
        <v>2552</v>
      </c>
      <c r="F14" s="52">
        <v>7597139</v>
      </c>
      <c r="G14" s="51">
        <v>4178</v>
      </c>
      <c r="H14" s="53">
        <v>8186842</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6299212598425197" top="0.984251968503937" bottom="0.984251968503937" header="0.5118110236220472" footer="0.5118110236220472"/>
  <pageSetup horizontalDpi="600" verticalDpi="600" orientation="portrait" paperSize="9" r:id="rId1"/>
  <headerFooter alignWithMargins="0">
    <oddFooter>&amp;R熊本国税局
消費税
（H24）</oddFooter>
  </headerFooter>
</worksheet>
</file>

<file path=xl/worksheets/sheet3.xml><?xml version="1.0" encoding="utf-8"?>
<worksheet xmlns="http://schemas.openxmlformats.org/spreadsheetml/2006/main" xmlns:r="http://schemas.openxmlformats.org/officeDocument/2006/relationships">
  <dimension ref="A1:I7"/>
  <sheetViews>
    <sheetView showGridLines="0" view="pageBreakPreview" zoomScaleSheetLayoutView="100" workbookViewId="0" topLeftCell="A1">
      <selection activeCell="C4" sqref="C4"/>
    </sheetView>
  </sheetViews>
  <sheetFormatPr defaultColWidth="9.00390625" defaultRowHeight="13.5"/>
  <cols>
    <col min="1" max="2" width="18.625" style="83" customWidth="1"/>
    <col min="3" max="3" width="23.625" style="83" customWidth="1"/>
    <col min="4" max="4" width="18.625" style="83" customWidth="1"/>
    <col min="5" max="16384" width="9.00390625" style="83" customWidth="1"/>
  </cols>
  <sheetData>
    <row r="1" s="1" customFormat="1" ht="20.25" customHeight="1" thickBot="1">
      <c r="A1" s="1" t="s">
        <v>27</v>
      </c>
    </row>
    <row r="2" spans="1:4" s="4" customFormat="1" ht="19.5" customHeight="1">
      <c r="A2" s="14" t="s">
        <v>8</v>
      </c>
      <c r="B2" s="15" t="s">
        <v>9</v>
      </c>
      <c r="C2" s="16" t="s">
        <v>10</v>
      </c>
      <c r="D2" s="85" t="s">
        <v>39</v>
      </c>
    </row>
    <row r="3" spans="1:4" s="10" customFormat="1" ht="15" customHeight="1">
      <c r="A3" s="74" t="s">
        <v>4</v>
      </c>
      <c r="B3" s="75" t="s">
        <v>4</v>
      </c>
      <c r="C3" s="76" t="s">
        <v>4</v>
      </c>
      <c r="D3" s="77" t="s">
        <v>4</v>
      </c>
    </row>
    <row r="4" spans="1:9" s="4" customFormat="1" ht="30" customHeight="1" thickBot="1">
      <c r="A4" s="11">
        <v>137179</v>
      </c>
      <c r="B4" s="12">
        <v>2834</v>
      </c>
      <c r="C4" s="17">
        <v>279</v>
      </c>
      <c r="D4" s="13">
        <v>140292</v>
      </c>
      <c r="E4" s="5"/>
      <c r="G4" s="5"/>
      <c r="I4" s="5"/>
    </row>
    <row r="5" spans="1:9" s="93" customFormat="1" ht="3.75" customHeight="1">
      <c r="A5" s="91"/>
      <c r="B5" s="91"/>
      <c r="C5" s="91"/>
      <c r="D5" s="91"/>
      <c r="E5" s="92"/>
      <c r="G5" s="92"/>
      <c r="I5" s="92"/>
    </row>
    <row r="6" spans="1:4" s="10" customFormat="1" ht="13.5" customHeight="1">
      <c r="A6" s="203" t="s">
        <v>164</v>
      </c>
      <c r="B6" s="203"/>
      <c r="C6" s="203"/>
      <c r="D6" s="203"/>
    </row>
    <row r="7" spans="1:4" s="4" customFormat="1" ht="15" customHeight="1">
      <c r="A7" s="204" t="s">
        <v>156</v>
      </c>
      <c r="B7" s="204"/>
      <c r="C7" s="204"/>
      <c r="D7" s="204"/>
    </row>
  </sheetData>
  <sheetProtection/>
  <mergeCells count="2">
    <mergeCell ref="A6:D6"/>
    <mergeCell ref="A7:D7"/>
  </mergeCells>
  <printOptions horizontalCentered="1"/>
  <pageMargins left="0.7874015748031497" right="0.6299212598425197" top="0.984251968503937" bottom="0.984251968503937" header="0.5118110236220472" footer="0.5118110236220472"/>
  <pageSetup horizontalDpi="600" verticalDpi="600" orientation="portrait" paperSize="9" r:id="rId1"/>
  <headerFooter alignWithMargins="0">
    <oddFooter>&amp;R熊本国税局
消費税
（H24）</oddFooter>
  </headerFooter>
</worksheet>
</file>

<file path=xl/worksheets/sheet4.xml><?xml version="1.0" encoding="utf-8"?>
<worksheet xmlns="http://schemas.openxmlformats.org/spreadsheetml/2006/main" xmlns:r="http://schemas.openxmlformats.org/officeDocument/2006/relationships">
  <dimension ref="A1:O67"/>
  <sheetViews>
    <sheetView view="pageBreakPreview" zoomScaleSheetLayoutView="100" workbookViewId="0" topLeftCell="D31">
      <selection activeCell="G12" sqref="G12"/>
    </sheetView>
  </sheetViews>
  <sheetFormatPr defaultColWidth="9.00390625" defaultRowHeight="13.5"/>
  <cols>
    <col min="1" max="1" width="11.375" style="96" customWidth="1"/>
    <col min="2" max="2" width="10.625" style="96" customWidth="1"/>
    <col min="3" max="3" width="12.625" style="96" customWidth="1"/>
    <col min="4" max="4" width="10.625" style="96" customWidth="1"/>
    <col min="5" max="5" width="12.625" style="96" customWidth="1"/>
    <col min="6" max="6" width="10.625" style="96" customWidth="1"/>
    <col min="7" max="7" width="12.625" style="96" customWidth="1"/>
    <col min="8" max="8" width="10.625" style="96" customWidth="1"/>
    <col min="9" max="9" width="12.625" style="96" customWidth="1"/>
    <col min="10" max="10" width="10.625" style="96" customWidth="1"/>
    <col min="11" max="11" width="12.625" style="96" customWidth="1"/>
    <col min="12" max="12" width="10.625" style="96" customWidth="1"/>
    <col min="13" max="13" width="12.625" style="96" customWidth="1"/>
    <col min="14" max="14" width="11.375" style="96" customWidth="1"/>
    <col min="15" max="16384" width="9.00390625" style="96" customWidth="1"/>
  </cols>
  <sheetData>
    <row r="1" spans="1:14" ht="13.5">
      <c r="A1" s="94" t="s">
        <v>40</v>
      </c>
      <c r="B1" s="94"/>
      <c r="C1" s="94"/>
      <c r="D1" s="94"/>
      <c r="E1" s="94"/>
      <c r="F1" s="94"/>
      <c r="G1" s="94"/>
      <c r="H1" s="95"/>
      <c r="I1" s="95"/>
      <c r="J1" s="95"/>
      <c r="K1" s="95"/>
      <c r="L1" s="95"/>
      <c r="M1" s="95"/>
      <c r="N1" s="95"/>
    </row>
    <row r="2" spans="1:14" ht="14.25" thickBot="1">
      <c r="A2" s="212" t="s">
        <v>41</v>
      </c>
      <c r="B2" s="212"/>
      <c r="C2" s="212"/>
      <c r="D2" s="212"/>
      <c r="E2" s="212"/>
      <c r="F2" s="212"/>
      <c r="G2" s="212"/>
      <c r="H2" s="95"/>
      <c r="I2" s="95"/>
      <c r="J2" s="95"/>
      <c r="K2" s="95"/>
      <c r="L2" s="95"/>
      <c r="M2" s="95"/>
      <c r="N2" s="95"/>
    </row>
    <row r="3" spans="1:14" ht="19.5" customHeight="1">
      <c r="A3" s="213" t="s">
        <v>42</v>
      </c>
      <c r="B3" s="216" t="s">
        <v>43</v>
      </c>
      <c r="C3" s="216"/>
      <c r="D3" s="216"/>
      <c r="E3" s="216"/>
      <c r="F3" s="216"/>
      <c r="G3" s="216"/>
      <c r="H3" s="217" t="s">
        <v>12</v>
      </c>
      <c r="I3" s="218"/>
      <c r="J3" s="220" t="s">
        <v>44</v>
      </c>
      <c r="K3" s="218"/>
      <c r="L3" s="217" t="s">
        <v>45</v>
      </c>
      <c r="M3" s="218"/>
      <c r="N3" s="205" t="s">
        <v>46</v>
      </c>
    </row>
    <row r="4" spans="1:14" ht="17.25" customHeight="1">
      <c r="A4" s="214"/>
      <c r="B4" s="208" t="s">
        <v>17</v>
      </c>
      <c r="C4" s="208"/>
      <c r="D4" s="209" t="s">
        <v>47</v>
      </c>
      <c r="E4" s="210"/>
      <c r="F4" s="209" t="s">
        <v>48</v>
      </c>
      <c r="G4" s="210"/>
      <c r="H4" s="209"/>
      <c r="I4" s="219"/>
      <c r="J4" s="209"/>
      <c r="K4" s="219"/>
      <c r="L4" s="209"/>
      <c r="M4" s="219"/>
      <c r="N4" s="206"/>
    </row>
    <row r="5" spans="1:14" s="102" customFormat="1" ht="28.5" customHeight="1">
      <c r="A5" s="215"/>
      <c r="B5" s="97" t="s">
        <v>49</v>
      </c>
      <c r="C5" s="98" t="s">
        <v>50</v>
      </c>
      <c r="D5" s="97" t="s">
        <v>49</v>
      </c>
      <c r="E5" s="98" t="s">
        <v>50</v>
      </c>
      <c r="F5" s="97" t="s">
        <v>49</v>
      </c>
      <c r="G5" s="99" t="s">
        <v>51</v>
      </c>
      <c r="H5" s="97" t="s">
        <v>49</v>
      </c>
      <c r="I5" s="100" t="s">
        <v>52</v>
      </c>
      <c r="J5" s="97" t="s">
        <v>49</v>
      </c>
      <c r="K5" s="100" t="s">
        <v>53</v>
      </c>
      <c r="L5" s="97" t="s">
        <v>49</v>
      </c>
      <c r="M5" s="101" t="s">
        <v>54</v>
      </c>
      <c r="N5" s="207"/>
    </row>
    <row r="6" spans="1:14" s="108" customFormat="1" ht="10.5">
      <c r="A6" s="103"/>
      <c r="B6" s="104" t="s">
        <v>4</v>
      </c>
      <c r="C6" s="105" t="s">
        <v>5</v>
      </c>
      <c r="D6" s="104" t="s">
        <v>4</v>
      </c>
      <c r="E6" s="105" t="s">
        <v>5</v>
      </c>
      <c r="F6" s="104" t="s">
        <v>4</v>
      </c>
      <c r="G6" s="105" t="s">
        <v>5</v>
      </c>
      <c r="H6" s="104" t="s">
        <v>4</v>
      </c>
      <c r="I6" s="106" t="s">
        <v>5</v>
      </c>
      <c r="J6" s="104" t="s">
        <v>4</v>
      </c>
      <c r="K6" s="106" t="s">
        <v>5</v>
      </c>
      <c r="L6" s="104" t="s">
        <v>4</v>
      </c>
      <c r="M6" s="106" t="s">
        <v>5</v>
      </c>
      <c r="N6" s="107"/>
    </row>
    <row r="7" spans="1:14" s="114" customFormat="1" ht="15.75" customHeight="1">
      <c r="A7" s="109" t="s">
        <v>55</v>
      </c>
      <c r="B7" s="110">
        <f>_xlfn.COMPOUNDVALUE(1)</f>
        <v>1778</v>
      </c>
      <c r="C7" s="111">
        <v>604410</v>
      </c>
      <c r="D7" s="110">
        <f>_xlfn.COMPOUNDVALUE(2)</f>
        <v>3508</v>
      </c>
      <c r="E7" s="111">
        <v>886347</v>
      </c>
      <c r="F7" s="110">
        <f>_xlfn.COMPOUNDVALUE(3)</f>
        <v>5286</v>
      </c>
      <c r="G7" s="111">
        <v>1490757</v>
      </c>
      <c r="H7" s="110">
        <f>_xlfn.COMPOUNDVALUE(4)</f>
        <v>90</v>
      </c>
      <c r="I7" s="112">
        <v>75004</v>
      </c>
      <c r="J7" s="110">
        <v>306</v>
      </c>
      <c r="K7" s="112">
        <v>32070</v>
      </c>
      <c r="L7" s="110">
        <v>5522</v>
      </c>
      <c r="M7" s="112">
        <v>1447822</v>
      </c>
      <c r="N7" s="113" t="s">
        <v>55</v>
      </c>
    </row>
    <row r="8" spans="1:14" s="114" customFormat="1" ht="15.75" customHeight="1">
      <c r="A8" s="115" t="s">
        <v>56</v>
      </c>
      <c r="B8" s="116">
        <f>_xlfn.COMPOUNDVALUE(5)</f>
        <v>912</v>
      </c>
      <c r="C8" s="117">
        <v>272794</v>
      </c>
      <c r="D8" s="116">
        <f>_xlfn.COMPOUNDVALUE(6)</f>
        <v>1462</v>
      </c>
      <c r="E8" s="117">
        <v>352761</v>
      </c>
      <c r="F8" s="116">
        <f>_xlfn.COMPOUNDVALUE(7)</f>
        <v>2374</v>
      </c>
      <c r="G8" s="117">
        <v>625555</v>
      </c>
      <c r="H8" s="116">
        <f>_xlfn.COMPOUNDVALUE(8)</f>
        <v>45</v>
      </c>
      <c r="I8" s="118">
        <v>31607</v>
      </c>
      <c r="J8" s="116">
        <v>148</v>
      </c>
      <c r="K8" s="118">
        <v>15349</v>
      </c>
      <c r="L8" s="116">
        <v>2480</v>
      </c>
      <c r="M8" s="118">
        <v>609298</v>
      </c>
      <c r="N8" s="119" t="s">
        <v>56</v>
      </c>
    </row>
    <row r="9" spans="1:14" s="114" customFormat="1" ht="15.75" customHeight="1">
      <c r="A9" s="115" t="s">
        <v>57</v>
      </c>
      <c r="B9" s="116">
        <f>_xlfn.COMPOUNDVALUE(9)</f>
        <v>669</v>
      </c>
      <c r="C9" s="117">
        <v>266443</v>
      </c>
      <c r="D9" s="116">
        <f>_xlfn.COMPOUNDVALUE(10)</f>
        <v>1904</v>
      </c>
      <c r="E9" s="117">
        <v>481928</v>
      </c>
      <c r="F9" s="116">
        <f>_xlfn.COMPOUNDVALUE(11)</f>
        <v>2573</v>
      </c>
      <c r="G9" s="117">
        <v>748371</v>
      </c>
      <c r="H9" s="116">
        <f>_xlfn.COMPOUNDVALUE(12)</f>
        <v>43</v>
      </c>
      <c r="I9" s="118">
        <v>6513</v>
      </c>
      <c r="J9" s="116">
        <v>138</v>
      </c>
      <c r="K9" s="118">
        <v>8928</v>
      </c>
      <c r="L9" s="116">
        <v>2649</v>
      </c>
      <c r="M9" s="118">
        <v>750787</v>
      </c>
      <c r="N9" s="119" t="s">
        <v>58</v>
      </c>
    </row>
    <row r="10" spans="1:14" s="114" customFormat="1" ht="15.75" customHeight="1">
      <c r="A10" s="115" t="s">
        <v>59</v>
      </c>
      <c r="B10" s="116">
        <f>_xlfn.COMPOUNDVALUE(13)</f>
        <v>350</v>
      </c>
      <c r="C10" s="117">
        <v>110434</v>
      </c>
      <c r="D10" s="116">
        <f>_xlfn.COMPOUNDVALUE(14)</f>
        <v>819</v>
      </c>
      <c r="E10" s="117">
        <v>171538</v>
      </c>
      <c r="F10" s="116">
        <f>_xlfn.COMPOUNDVALUE(15)</f>
        <v>1169</v>
      </c>
      <c r="G10" s="117">
        <v>281972</v>
      </c>
      <c r="H10" s="116">
        <f>_xlfn.COMPOUNDVALUE(16)</f>
        <v>32</v>
      </c>
      <c r="I10" s="118">
        <v>8828</v>
      </c>
      <c r="J10" s="116">
        <v>38</v>
      </c>
      <c r="K10" s="118">
        <v>2316</v>
      </c>
      <c r="L10" s="116">
        <v>1218</v>
      </c>
      <c r="M10" s="118">
        <v>275460</v>
      </c>
      <c r="N10" s="119" t="s">
        <v>60</v>
      </c>
    </row>
    <row r="11" spans="1:14" s="114" customFormat="1" ht="15.75" customHeight="1">
      <c r="A11" s="115" t="s">
        <v>61</v>
      </c>
      <c r="B11" s="116">
        <f>_xlfn.COMPOUNDVALUE(17)</f>
        <v>528</v>
      </c>
      <c r="C11" s="117">
        <v>167219</v>
      </c>
      <c r="D11" s="116">
        <f>_xlfn.COMPOUNDVALUE(18)</f>
        <v>1449</v>
      </c>
      <c r="E11" s="117">
        <v>324786</v>
      </c>
      <c r="F11" s="116">
        <f>_xlfn.COMPOUNDVALUE(19)</f>
        <v>1977</v>
      </c>
      <c r="G11" s="117">
        <v>492006</v>
      </c>
      <c r="H11" s="116">
        <f>_xlfn.COMPOUNDVALUE(20)</f>
        <v>36</v>
      </c>
      <c r="I11" s="118">
        <v>9180</v>
      </c>
      <c r="J11" s="116">
        <v>109</v>
      </c>
      <c r="K11" s="118">
        <v>15907</v>
      </c>
      <c r="L11" s="116">
        <v>2053</v>
      </c>
      <c r="M11" s="118">
        <v>498732</v>
      </c>
      <c r="N11" s="119" t="s">
        <v>62</v>
      </c>
    </row>
    <row r="12" spans="1:14" s="114" customFormat="1" ht="15.75" customHeight="1">
      <c r="A12" s="115" t="s">
        <v>63</v>
      </c>
      <c r="B12" s="116">
        <f>_xlfn.COMPOUNDVALUE(21)</f>
        <v>586</v>
      </c>
      <c r="C12" s="117">
        <v>174136</v>
      </c>
      <c r="D12" s="116">
        <f>_xlfn.COMPOUNDVALUE(22)</f>
        <v>962</v>
      </c>
      <c r="E12" s="117">
        <v>213841</v>
      </c>
      <c r="F12" s="116">
        <f>_xlfn.COMPOUNDVALUE(23)</f>
        <v>1548</v>
      </c>
      <c r="G12" s="117">
        <v>387977</v>
      </c>
      <c r="H12" s="116">
        <f>_xlfn.COMPOUNDVALUE(24)</f>
        <v>25</v>
      </c>
      <c r="I12" s="118">
        <v>9343</v>
      </c>
      <c r="J12" s="116">
        <v>83</v>
      </c>
      <c r="K12" s="118">
        <v>6340</v>
      </c>
      <c r="L12" s="116">
        <v>1595</v>
      </c>
      <c r="M12" s="118">
        <v>384975</v>
      </c>
      <c r="N12" s="119" t="s">
        <v>64</v>
      </c>
    </row>
    <row r="13" spans="1:14" s="114" customFormat="1" ht="15.75" customHeight="1">
      <c r="A13" s="115" t="s">
        <v>65</v>
      </c>
      <c r="B13" s="116">
        <f>_xlfn.COMPOUNDVALUE(25)</f>
        <v>213</v>
      </c>
      <c r="C13" s="117">
        <v>68046</v>
      </c>
      <c r="D13" s="116">
        <f>_xlfn.COMPOUNDVALUE(26)</f>
        <v>478</v>
      </c>
      <c r="E13" s="117">
        <v>97000</v>
      </c>
      <c r="F13" s="116">
        <f>_xlfn.COMPOUNDVALUE(27)</f>
        <v>691</v>
      </c>
      <c r="G13" s="117">
        <v>165046</v>
      </c>
      <c r="H13" s="116">
        <f>_xlfn.COMPOUNDVALUE(28)</f>
        <v>19</v>
      </c>
      <c r="I13" s="118">
        <v>6448</v>
      </c>
      <c r="J13" s="116">
        <v>29</v>
      </c>
      <c r="K13" s="118">
        <v>2224</v>
      </c>
      <c r="L13" s="116">
        <v>716</v>
      </c>
      <c r="M13" s="118">
        <v>160822</v>
      </c>
      <c r="N13" s="119" t="s">
        <v>66</v>
      </c>
    </row>
    <row r="14" spans="1:14" s="114" customFormat="1" ht="15.75" customHeight="1">
      <c r="A14" s="115" t="s">
        <v>67</v>
      </c>
      <c r="B14" s="116">
        <f>_xlfn.COMPOUNDVALUE(29)</f>
        <v>701</v>
      </c>
      <c r="C14" s="117">
        <v>199408</v>
      </c>
      <c r="D14" s="116">
        <f>_xlfn.COMPOUNDVALUE(30)</f>
        <v>1040</v>
      </c>
      <c r="E14" s="117">
        <v>239390</v>
      </c>
      <c r="F14" s="116">
        <f>_xlfn.COMPOUNDVALUE(31)</f>
        <v>1741</v>
      </c>
      <c r="G14" s="117">
        <v>438798</v>
      </c>
      <c r="H14" s="116">
        <f>_xlfn.COMPOUNDVALUE(32)</f>
        <v>89</v>
      </c>
      <c r="I14" s="118">
        <v>29031</v>
      </c>
      <c r="J14" s="116">
        <v>65</v>
      </c>
      <c r="K14" s="118">
        <v>3085</v>
      </c>
      <c r="L14" s="116">
        <v>1843</v>
      </c>
      <c r="M14" s="118">
        <v>412852</v>
      </c>
      <c r="N14" s="119" t="s">
        <v>68</v>
      </c>
    </row>
    <row r="15" spans="1:14" s="114" customFormat="1" ht="15.75" customHeight="1">
      <c r="A15" s="115" t="s">
        <v>69</v>
      </c>
      <c r="B15" s="116">
        <f>_xlfn.COMPOUNDVALUE(33)</f>
        <v>374</v>
      </c>
      <c r="C15" s="117">
        <v>99098</v>
      </c>
      <c r="D15" s="116">
        <f>_xlfn.COMPOUNDVALUE(34)</f>
        <v>1047</v>
      </c>
      <c r="E15" s="117">
        <v>232491</v>
      </c>
      <c r="F15" s="116">
        <f>_xlfn.COMPOUNDVALUE(35)</f>
        <v>1421</v>
      </c>
      <c r="G15" s="117">
        <v>331589</v>
      </c>
      <c r="H15" s="116">
        <f>_xlfn.COMPOUNDVALUE(36)</f>
        <v>17</v>
      </c>
      <c r="I15" s="118">
        <v>1354</v>
      </c>
      <c r="J15" s="116">
        <v>35</v>
      </c>
      <c r="K15" s="118">
        <v>2287</v>
      </c>
      <c r="L15" s="116">
        <v>1447</v>
      </c>
      <c r="M15" s="118">
        <v>332522</v>
      </c>
      <c r="N15" s="119" t="s">
        <v>70</v>
      </c>
    </row>
    <row r="16" spans="1:14" s="114" customFormat="1" ht="15.75" customHeight="1">
      <c r="A16" s="115" t="s">
        <v>71</v>
      </c>
      <c r="B16" s="116">
        <f>_xlfn.COMPOUNDVALUE(37)</f>
        <v>364</v>
      </c>
      <c r="C16" s="117">
        <v>108360</v>
      </c>
      <c r="D16" s="116">
        <f>_xlfn.COMPOUNDVALUE(38)</f>
        <v>620</v>
      </c>
      <c r="E16" s="117">
        <v>127498</v>
      </c>
      <c r="F16" s="116">
        <f>_xlfn.COMPOUNDVALUE(39)</f>
        <v>984</v>
      </c>
      <c r="G16" s="117">
        <v>235858</v>
      </c>
      <c r="H16" s="116">
        <f>_xlfn.COMPOUNDVALUE(40)</f>
        <v>34</v>
      </c>
      <c r="I16" s="118">
        <v>17981</v>
      </c>
      <c r="J16" s="116">
        <v>53</v>
      </c>
      <c r="K16" s="118">
        <v>5285</v>
      </c>
      <c r="L16" s="116">
        <v>1029</v>
      </c>
      <c r="M16" s="118">
        <v>223161</v>
      </c>
      <c r="N16" s="119" t="s">
        <v>72</v>
      </c>
    </row>
    <row r="17" spans="1:14" s="114" customFormat="1" ht="15.75" customHeight="1">
      <c r="A17" s="148" t="s">
        <v>73</v>
      </c>
      <c r="B17" s="149">
        <v>6475</v>
      </c>
      <c r="C17" s="150">
        <v>2070347</v>
      </c>
      <c r="D17" s="149">
        <v>13289</v>
      </c>
      <c r="E17" s="150">
        <v>3127581</v>
      </c>
      <c r="F17" s="149">
        <v>19764</v>
      </c>
      <c r="G17" s="150">
        <v>5197928</v>
      </c>
      <c r="H17" s="149">
        <v>430</v>
      </c>
      <c r="I17" s="151">
        <v>195288</v>
      </c>
      <c r="J17" s="149">
        <v>1004</v>
      </c>
      <c r="K17" s="151">
        <v>93792</v>
      </c>
      <c r="L17" s="149">
        <v>20552</v>
      </c>
      <c r="M17" s="151">
        <v>5096431</v>
      </c>
      <c r="N17" s="152" t="s">
        <v>74</v>
      </c>
    </row>
    <row r="18" spans="1:14" s="114" customFormat="1" ht="15.75" customHeight="1">
      <c r="A18" s="153"/>
      <c r="B18" s="154"/>
      <c r="C18" s="155"/>
      <c r="D18" s="154"/>
      <c r="E18" s="155"/>
      <c r="F18" s="156"/>
      <c r="G18" s="155"/>
      <c r="H18" s="156"/>
      <c r="I18" s="155"/>
      <c r="J18" s="156"/>
      <c r="K18" s="155"/>
      <c r="L18" s="156"/>
      <c r="M18" s="155"/>
      <c r="N18" s="157"/>
    </row>
    <row r="19" spans="1:14" s="114" customFormat="1" ht="15.75" customHeight="1">
      <c r="A19" s="109" t="s">
        <v>75</v>
      </c>
      <c r="B19" s="110">
        <f>_xlfn.COMPOUNDVALUE(41)</f>
        <v>1366</v>
      </c>
      <c r="C19" s="111">
        <v>462729</v>
      </c>
      <c r="D19" s="110">
        <f>_xlfn.COMPOUNDVALUE(42)</f>
        <v>1849</v>
      </c>
      <c r="E19" s="111">
        <v>468428</v>
      </c>
      <c r="F19" s="110">
        <f>_xlfn.COMPOUNDVALUE(43)</f>
        <v>3215</v>
      </c>
      <c r="G19" s="111">
        <v>931157</v>
      </c>
      <c r="H19" s="110">
        <f>_xlfn.COMPOUNDVALUE(44)</f>
        <v>60</v>
      </c>
      <c r="I19" s="112">
        <v>11343</v>
      </c>
      <c r="J19" s="110">
        <v>229</v>
      </c>
      <c r="K19" s="112">
        <v>32386</v>
      </c>
      <c r="L19" s="110">
        <v>3393</v>
      </c>
      <c r="M19" s="112">
        <v>952200</v>
      </c>
      <c r="N19" s="113" t="s">
        <v>75</v>
      </c>
    </row>
    <row r="20" spans="1:14" s="114" customFormat="1" ht="15.75" customHeight="1">
      <c r="A20" s="109" t="s">
        <v>76</v>
      </c>
      <c r="B20" s="110">
        <f>_xlfn.COMPOUNDVALUE(45)</f>
        <v>598</v>
      </c>
      <c r="C20" s="111">
        <v>163227</v>
      </c>
      <c r="D20" s="110">
        <f>_xlfn.COMPOUNDVALUE(46)</f>
        <v>940</v>
      </c>
      <c r="E20" s="111">
        <v>207616</v>
      </c>
      <c r="F20" s="110">
        <f>_xlfn.COMPOUNDVALUE(47)</f>
        <v>1538</v>
      </c>
      <c r="G20" s="111">
        <v>370843</v>
      </c>
      <c r="H20" s="110">
        <f>_xlfn.COMPOUNDVALUE(48)</f>
        <v>35</v>
      </c>
      <c r="I20" s="112">
        <v>9155</v>
      </c>
      <c r="J20" s="110">
        <v>95</v>
      </c>
      <c r="K20" s="112">
        <v>14472</v>
      </c>
      <c r="L20" s="110">
        <v>1618</v>
      </c>
      <c r="M20" s="112">
        <v>376160</v>
      </c>
      <c r="N20" s="113" t="s">
        <v>76</v>
      </c>
    </row>
    <row r="21" spans="1:14" s="114" customFormat="1" ht="15.75" customHeight="1">
      <c r="A21" s="115" t="s">
        <v>77</v>
      </c>
      <c r="B21" s="116">
        <f>_xlfn.COMPOUNDVALUE(49)</f>
        <v>296</v>
      </c>
      <c r="C21" s="117">
        <v>86652</v>
      </c>
      <c r="D21" s="116">
        <f>_xlfn.COMPOUNDVALUE(50)</f>
        <v>394</v>
      </c>
      <c r="E21" s="117">
        <v>93573</v>
      </c>
      <c r="F21" s="116">
        <f>_xlfn.COMPOUNDVALUE(51)</f>
        <v>690</v>
      </c>
      <c r="G21" s="117">
        <v>180225</v>
      </c>
      <c r="H21" s="116">
        <f>_xlfn.COMPOUNDVALUE(52)</f>
        <v>17</v>
      </c>
      <c r="I21" s="118">
        <v>4090</v>
      </c>
      <c r="J21" s="116">
        <v>34</v>
      </c>
      <c r="K21" s="118">
        <v>2697</v>
      </c>
      <c r="L21" s="116">
        <v>718</v>
      </c>
      <c r="M21" s="118">
        <v>178831</v>
      </c>
      <c r="N21" s="119" t="s">
        <v>78</v>
      </c>
    </row>
    <row r="22" spans="1:14" s="114" customFormat="1" ht="15.75" customHeight="1">
      <c r="A22" s="115" t="s">
        <v>79</v>
      </c>
      <c r="B22" s="116">
        <f>_xlfn.COMPOUNDVALUE(53)</f>
        <v>483</v>
      </c>
      <c r="C22" s="117">
        <v>138813</v>
      </c>
      <c r="D22" s="116">
        <f>_xlfn.COMPOUNDVALUE(54)</f>
        <v>813</v>
      </c>
      <c r="E22" s="117">
        <v>183464</v>
      </c>
      <c r="F22" s="116">
        <f>_xlfn.COMPOUNDVALUE(55)</f>
        <v>1296</v>
      </c>
      <c r="G22" s="117">
        <v>322277</v>
      </c>
      <c r="H22" s="116">
        <f>_xlfn.COMPOUNDVALUE(56)</f>
        <v>25</v>
      </c>
      <c r="I22" s="118">
        <v>3153</v>
      </c>
      <c r="J22" s="116">
        <v>73</v>
      </c>
      <c r="K22" s="118">
        <v>5936</v>
      </c>
      <c r="L22" s="116">
        <v>1345</v>
      </c>
      <c r="M22" s="118">
        <v>325060</v>
      </c>
      <c r="N22" s="119" t="s">
        <v>80</v>
      </c>
    </row>
    <row r="23" spans="1:14" s="114" customFormat="1" ht="15.75" customHeight="1">
      <c r="A23" s="115" t="s">
        <v>81</v>
      </c>
      <c r="B23" s="116">
        <f>_xlfn.COMPOUNDVALUE(57)</f>
        <v>332</v>
      </c>
      <c r="C23" s="117">
        <v>103166</v>
      </c>
      <c r="D23" s="116">
        <f>_xlfn.COMPOUNDVALUE(58)</f>
        <v>434</v>
      </c>
      <c r="E23" s="117">
        <v>95758</v>
      </c>
      <c r="F23" s="116">
        <f>_xlfn.COMPOUNDVALUE(59)</f>
        <v>766</v>
      </c>
      <c r="G23" s="117">
        <v>198924</v>
      </c>
      <c r="H23" s="116">
        <f>_xlfn.COMPOUNDVALUE(60)</f>
        <v>19</v>
      </c>
      <c r="I23" s="118">
        <v>5586</v>
      </c>
      <c r="J23" s="116">
        <v>25</v>
      </c>
      <c r="K23" s="118">
        <v>2491</v>
      </c>
      <c r="L23" s="116">
        <v>786</v>
      </c>
      <c r="M23" s="118">
        <v>195829</v>
      </c>
      <c r="N23" s="119" t="s">
        <v>82</v>
      </c>
    </row>
    <row r="24" spans="1:14" s="114" customFormat="1" ht="15.75" customHeight="1">
      <c r="A24" s="115" t="s">
        <v>83</v>
      </c>
      <c r="B24" s="116">
        <f>_xlfn.COMPOUNDVALUE(61)</f>
        <v>150</v>
      </c>
      <c r="C24" s="117">
        <v>52229</v>
      </c>
      <c r="D24" s="116">
        <f>_xlfn.COMPOUNDVALUE(62)</f>
        <v>332</v>
      </c>
      <c r="E24" s="117">
        <v>69472</v>
      </c>
      <c r="F24" s="116">
        <f>_xlfn.COMPOUNDVALUE(63)</f>
        <v>482</v>
      </c>
      <c r="G24" s="117">
        <v>121701</v>
      </c>
      <c r="H24" s="116">
        <f>_xlfn.COMPOUNDVALUE(64)</f>
        <v>15</v>
      </c>
      <c r="I24" s="118">
        <v>3626</v>
      </c>
      <c r="J24" s="116">
        <v>28</v>
      </c>
      <c r="K24" s="118">
        <v>2367</v>
      </c>
      <c r="L24" s="116">
        <v>508</v>
      </c>
      <c r="M24" s="118">
        <v>120443</v>
      </c>
      <c r="N24" s="119" t="s">
        <v>84</v>
      </c>
    </row>
    <row r="25" spans="1:14" s="114" customFormat="1" ht="15.75" customHeight="1">
      <c r="A25" s="115" t="s">
        <v>85</v>
      </c>
      <c r="B25" s="116">
        <f>_xlfn.COMPOUNDVALUE(65)</f>
        <v>108</v>
      </c>
      <c r="C25" s="117">
        <v>31767</v>
      </c>
      <c r="D25" s="116">
        <f>_xlfn.COMPOUNDVALUE(66)</f>
        <v>260</v>
      </c>
      <c r="E25" s="117">
        <v>48656</v>
      </c>
      <c r="F25" s="116">
        <f>_xlfn.COMPOUNDVALUE(67)</f>
        <v>368</v>
      </c>
      <c r="G25" s="117">
        <v>80423</v>
      </c>
      <c r="H25" s="116">
        <f>_xlfn.COMPOUNDVALUE(68)</f>
        <v>9</v>
      </c>
      <c r="I25" s="118">
        <v>799</v>
      </c>
      <c r="J25" s="116">
        <v>17</v>
      </c>
      <c r="K25" s="118">
        <v>1604</v>
      </c>
      <c r="L25" s="116">
        <v>387</v>
      </c>
      <c r="M25" s="118">
        <v>81228</v>
      </c>
      <c r="N25" s="119" t="s">
        <v>86</v>
      </c>
    </row>
    <row r="26" spans="1:14" s="114" customFormat="1" ht="15.75" customHeight="1">
      <c r="A26" s="115" t="s">
        <v>87</v>
      </c>
      <c r="B26" s="116">
        <f>_xlfn.COMPOUNDVALUE(69)</f>
        <v>289</v>
      </c>
      <c r="C26" s="117">
        <v>101678</v>
      </c>
      <c r="D26" s="116">
        <f>_xlfn.COMPOUNDVALUE(70)</f>
        <v>469</v>
      </c>
      <c r="E26" s="117">
        <v>113217</v>
      </c>
      <c r="F26" s="116">
        <f>_xlfn.COMPOUNDVALUE(71)</f>
        <v>758</v>
      </c>
      <c r="G26" s="117">
        <v>214895</v>
      </c>
      <c r="H26" s="116">
        <f>_xlfn.COMPOUNDVALUE(72)</f>
        <v>38</v>
      </c>
      <c r="I26" s="118">
        <v>15158</v>
      </c>
      <c r="J26" s="116">
        <v>35</v>
      </c>
      <c r="K26" s="118">
        <v>2133</v>
      </c>
      <c r="L26" s="116">
        <v>803</v>
      </c>
      <c r="M26" s="118">
        <v>201869</v>
      </c>
      <c r="N26" s="119" t="s">
        <v>88</v>
      </c>
    </row>
    <row r="27" spans="1:14" s="114" customFormat="1" ht="15.75" customHeight="1">
      <c r="A27" s="115" t="s">
        <v>89</v>
      </c>
      <c r="B27" s="116">
        <f>_xlfn.COMPOUNDVALUE(73)</f>
        <v>108</v>
      </c>
      <c r="C27" s="117">
        <v>24883</v>
      </c>
      <c r="D27" s="116">
        <f>_xlfn.COMPOUNDVALUE(74)</f>
        <v>245</v>
      </c>
      <c r="E27" s="117">
        <v>47108</v>
      </c>
      <c r="F27" s="116">
        <f>_xlfn.COMPOUNDVALUE(75)</f>
        <v>353</v>
      </c>
      <c r="G27" s="117">
        <v>71991</v>
      </c>
      <c r="H27" s="116">
        <f>_xlfn.COMPOUNDVALUE(76)</f>
        <v>6</v>
      </c>
      <c r="I27" s="118">
        <v>290</v>
      </c>
      <c r="J27" s="116">
        <v>37</v>
      </c>
      <c r="K27" s="118">
        <v>3324</v>
      </c>
      <c r="L27" s="116">
        <v>368</v>
      </c>
      <c r="M27" s="118">
        <v>75025</v>
      </c>
      <c r="N27" s="119" t="s">
        <v>90</v>
      </c>
    </row>
    <row r="28" spans="1:14" s="114" customFormat="1" ht="15.75" customHeight="1">
      <c r="A28" s="148" t="s">
        <v>91</v>
      </c>
      <c r="B28" s="149">
        <v>3730</v>
      </c>
      <c r="C28" s="150">
        <v>1165144</v>
      </c>
      <c r="D28" s="149">
        <v>5736</v>
      </c>
      <c r="E28" s="150">
        <v>1327292</v>
      </c>
      <c r="F28" s="149">
        <v>9466</v>
      </c>
      <c r="G28" s="150">
        <v>2492436</v>
      </c>
      <c r="H28" s="149">
        <v>224</v>
      </c>
      <c r="I28" s="151">
        <v>53201</v>
      </c>
      <c r="J28" s="149">
        <v>573</v>
      </c>
      <c r="K28" s="151">
        <v>67411</v>
      </c>
      <c r="L28" s="149">
        <v>9926</v>
      </c>
      <c r="M28" s="151">
        <v>2506646</v>
      </c>
      <c r="N28" s="152" t="s">
        <v>92</v>
      </c>
    </row>
    <row r="29" spans="1:14" s="114" customFormat="1" ht="15.75" customHeight="1">
      <c r="A29" s="153"/>
      <c r="B29" s="154"/>
      <c r="C29" s="155"/>
      <c r="D29" s="154"/>
      <c r="E29" s="155"/>
      <c r="F29" s="156"/>
      <c r="G29" s="155"/>
      <c r="H29" s="156"/>
      <c r="I29" s="155"/>
      <c r="J29" s="156"/>
      <c r="K29" s="155"/>
      <c r="L29" s="156"/>
      <c r="M29" s="155"/>
      <c r="N29" s="157"/>
    </row>
    <row r="30" spans="1:14" s="114" customFormat="1" ht="15.75" customHeight="1">
      <c r="A30" s="109" t="s">
        <v>93</v>
      </c>
      <c r="B30" s="110">
        <f>_xlfn.COMPOUNDVALUE(77)</f>
        <v>1363</v>
      </c>
      <c r="C30" s="111">
        <v>474023</v>
      </c>
      <c r="D30" s="110">
        <f>_xlfn.COMPOUNDVALUE(78)</f>
        <v>2918</v>
      </c>
      <c r="E30" s="111">
        <v>657649</v>
      </c>
      <c r="F30" s="110">
        <f>_xlfn.COMPOUNDVALUE(79)</f>
        <v>4281</v>
      </c>
      <c r="G30" s="111">
        <v>1131672</v>
      </c>
      <c r="H30" s="110">
        <f>_xlfn.COMPOUNDVALUE(80)</f>
        <v>78</v>
      </c>
      <c r="I30" s="112">
        <v>27819</v>
      </c>
      <c r="J30" s="110">
        <v>180</v>
      </c>
      <c r="K30" s="112">
        <v>64199</v>
      </c>
      <c r="L30" s="110">
        <v>4422</v>
      </c>
      <c r="M30" s="112">
        <v>1168052</v>
      </c>
      <c r="N30" s="113" t="s">
        <v>94</v>
      </c>
    </row>
    <row r="31" spans="1:14" s="114" customFormat="1" ht="15.75" customHeight="1">
      <c r="A31" s="115" t="s">
        <v>95</v>
      </c>
      <c r="B31" s="116">
        <f>_xlfn.COMPOUNDVALUE(81)</f>
        <v>1142</v>
      </c>
      <c r="C31" s="117">
        <v>370927</v>
      </c>
      <c r="D31" s="116">
        <f>_xlfn.COMPOUNDVALUE(82)</f>
        <v>1124</v>
      </c>
      <c r="E31" s="117">
        <v>266555</v>
      </c>
      <c r="F31" s="116">
        <f>_xlfn.COMPOUNDVALUE(83)</f>
        <v>2266</v>
      </c>
      <c r="G31" s="117">
        <v>637482</v>
      </c>
      <c r="H31" s="116">
        <f>_xlfn.COMPOUNDVALUE(84)</f>
        <v>122</v>
      </c>
      <c r="I31" s="118">
        <v>37827</v>
      </c>
      <c r="J31" s="116">
        <v>118</v>
      </c>
      <c r="K31" s="118">
        <v>12602</v>
      </c>
      <c r="L31" s="116">
        <v>2417</v>
      </c>
      <c r="M31" s="118">
        <v>612256</v>
      </c>
      <c r="N31" s="119" t="s">
        <v>96</v>
      </c>
    </row>
    <row r="32" spans="1:14" s="114" customFormat="1" ht="15.75" customHeight="1">
      <c r="A32" s="115" t="s">
        <v>97</v>
      </c>
      <c r="B32" s="116">
        <f>_xlfn.COMPOUNDVALUE(85)</f>
        <v>1111</v>
      </c>
      <c r="C32" s="117">
        <v>362272</v>
      </c>
      <c r="D32" s="116">
        <f>_xlfn.COMPOUNDVALUE(86)</f>
        <v>1316</v>
      </c>
      <c r="E32" s="117">
        <v>330015</v>
      </c>
      <c r="F32" s="116">
        <f>_xlfn.COMPOUNDVALUE(87)</f>
        <v>2427</v>
      </c>
      <c r="G32" s="117">
        <v>692287</v>
      </c>
      <c r="H32" s="116">
        <f>_xlfn.COMPOUNDVALUE(88)</f>
        <v>75</v>
      </c>
      <c r="I32" s="118">
        <v>14537</v>
      </c>
      <c r="J32" s="116">
        <v>127</v>
      </c>
      <c r="K32" s="118">
        <v>16536</v>
      </c>
      <c r="L32" s="116">
        <v>2565</v>
      </c>
      <c r="M32" s="118">
        <v>694286</v>
      </c>
      <c r="N32" s="119" t="s">
        <v>98</v>
      </c>
    </row>
    <row r="33" spans="1:14" s="114" customFormat="1" ht="15.75" customHeight="1">
      <c r="A33" s="115" t="s">
        <v>99</v>
      </c>
      <c r="B33" s="116">
        <f>_xlfn.COMPOUNDVALUE(89)</f>
        <v>316</v>
      </c>
      <c r="C33" s="117">
        <v>96658</v>
      </c>
      <c r="D33" s="116">
        <f>_xlfn.COMPOUNDVALUE(90)</f>
        <v>698</v>
      </c>
      <c r="E33" s="117">
        <v>148447</v>
      </c>
      <c r="F33" s="116">
        <f>_xlfn.COMPOUNDVALUE(91)</f>
        <v>1014</v>
      </c>
      <c r="G33" s="117">
        <v>245104</v>
      </c>
      <c r="H33" s="116">
        <f>_xlfn.COMPOUNDVALUE(92)</f>
        <v>26</v>
      </c>
      <c r="I33" s="118">
        <v>6746</v>
      </c>
      <c r="J33" s="116">
        <v>77</v>
      </c>
      <c r="K33" s="118">
        <v>9036</v>
      </c>
      <c r="L33" s="116">
        <v>1072</v>
      </c>
      <c r="M33" s="118">
        <v>247394</v>
      </c>
      <c r="N33" s="119" t="s">
        <v>100</v>
      </c>
    </row>
    <row r="34" spans="1:14" s="114" customFormat="1" ht="15.75" customHeight="1">
      <c r="A34" s="115" t="s">
        <v>101</v>
      </c>
      <c r="B34" s="116">
        <f>_xlfn.COMPOUNDVALUE(93)</f>
        <v>588</v>
      </c>
      <c r="C34" s="117">
        <v>179527</v>
      </c>
      <c r="D34" s="116">
        <f>_xlfn.COMPOUNDVALUE(94)</f>
        <v>670</v>
      </c>
      <c r="E34" s="117">
        <v>144032</v>
      </c>
      <c r="F34" s="116">
        <f>_xlfn.COMPOUNDVALUE(95)</f>
        <v>1258</v>
      </c>
      <c r="G34" s="117">
        <v>323559</v>
      </c>
      <c r="H34" s="116">
        <f>_xlfn.COMPOUNDVALUE(96)</f>
        <v>66</v>
      </c>
      <c r="I34" s="118">
        <v>37453</v>
      </c>
      <c r="J34" s="116">
        <v>71</v>
      </c>
      <c r="K34" s="118">
        <v>316</v>
      </c>
      <c r="L34" s="116">
        <v>1344</v>
      </c>
      <c r="M34" s="118">
        <v>286421</v>
      </c>
      <c r="N34" s="119" t="s">
        <v>102</v>
      </c>
    </row>
    <row r="35" spans="1:14" s="114" customFormat="1" ht="15.75" customHeight="1">
      <c r="A35" s="115" t="s">
        <v>103</v>
      </c>
      <c r="B35" s="116">
        <f>_xlfn.COMPOUNDVALUE(97)</f>
        <v>604</v>
      </c>
      <c r="C35" s="117">
        <v>193591</v>
      </c>
      <c r="D35" s="116">
        <f>_xlfn.COMPOUNDVALUE(98)</f>
        <v>1550</v>
      </c>
      <c r="E35" s="117">
        <v>323231</v>
      </c>
      <c r="F35" s="116">
        <f>_xlfn.COMPOUNDVALUE(99)</f>
        <v>2154</v>
      </c>
      <c r="G35" s="117">
        <v>516822</v>
      </c>
      <c r="H35" s="116">
        <f>_xlfn.COMPOUNDVALUE(100)</f>
        <v>67</v>
      </c>
      <c r="I35" s="118">
        <v>32545</v>
      </c>
      <c r="J35" s="116">
        <v>97</v>
      </c>
      <c r="K35" s="118">
        <v>6418</v>
      </c>
      <c r="L35" s="116">
        <v>2258</v>
      </c>
      <c r="M35" s="118">
        <v>490694</v>
      </c>
      <c r="N35" s="119" t="s">
        <v>104</v>
      </c>
    </row>
    <row r="36" spans="1:14" s="114" customFormat="1" ht="15.75" customHeight="1">
      <c r="A36" s="148" t="s">
        <v>105</v>
      </c>
      <c r="B36" s="149">
        <v>5124</v>
      </c>
      <c r="C36" s="150">
        <v>1676997</v>
      </c>
      <c r="D36" s="149">
        <v>8276</v>
      </c>
      <c r="E36" s="150">
        <v>1869929</v>
      </c>
      <c r="F36" s="149">
        <v>13400</v>
      </c>
      <c r="G36" s="150">
        <v>3546926</v>
      </c>
      <c r="H36" s="149">
        <v>434</v>
      </c>
      <c r="I36" s="151">
        <v>156927</v>
      </c>
      <c r="J36" s="149">
        <v>670</v>
      </c>
      <c r="K36" s="151">
        <v>109106</v>
      </c>
      <c r="L36" s="149">
        <v>14078</v>
      </c>
      <c r="M36" s="151">
        <v>3499105</v>
      </c>
      <c r="N36" s="152" t="s">
        <v>106</v>
      </c>
    </row>
    <row r="37" spans="1:14" s="114" customFormat="1" ht="15.75" customHeight="1">
      <c r="A37" s="153"/>
      <c r="B37" s="154"/>
      <c r="C37" s="155"/>
      <c r="D37" s="154"/>
      <c r="E37" s="155"/>
      <c r="F37" s="156"/>
      <c r="G37" s="155"/>
      <c r="H37" s="156"/>
      <c r="I37" s="155"/>
      <c r="J37" s="156"/>
      <c r="K37" s="155"/>
      <c r="L37" s="156"/>
      <c r="M37" s="155"/>
      <c r="N37" s="157"/>
    </row>
    <row r="38" spans="1:14" s="114" customFormat="1" ht="15.75" customHeight="1">
      <c r="A38" s="109" t="s">
        <v>107</v>
      </c>
      <c r="B38" s="110">
        <f>_xlfn.COMPOUNDVALUE(101)</f>
        <v>1797</v>
      </c>
      <c r="C38" s="111">
        <v>642507</v>
      </c>
      <c r="D38" s="110">
        <f>_xlfn.COMPOUNDVALUE(102)</f>
        <v>2470</v>
      </c>
      <c r="E38" s="111">
        <v>631167</v>
      </c>
      <c r="F38" s="110">
        <f>_xlfn.COMPOUNDVALUE(103)</f>
        <v>4267</v>
      </c>
      <c r="G38" s="111">
        <v>1273674</v>
      </c>
      <c r="H38" s="110">
        <f>_xlfn.COMPOUNDVALUE(104)</f>
        <v>92</v>
      </c>
      <c r="I38" s="112">
        <v>45310</v>
      </c>
      <c r="J38" s="110">
        <v>204</v>
      </c>
      <c r="K38" s="112">
        <v>21374</v>
      </c>
      <c r="L38" s="110">
        <v>4438</v>
      </c>
      <c r="M38" s="112">
        <v>1249739</v>
      </c>
      <c r="N38" s="113" t="s">
        <v>108</v>
      </c>
    </row>
    <row r="39" spans="1:14" s="114" customFormat="1" ht="15.75" customHeight="1">
      <c r="A39" s="109" t="s">
        <v>109</v>
      </c>
      <c r="B39" s="110">
        <f>_xlfn.COMPOUNDVALUE(105)</f>
        <v>381</v>
      </c>
      <c r="C39" s="111">
        <v>109346</v>
      </c>
      <c r="D39" s="110">
        <f>_xlfn.COMPOUNDVALUE(106)</f>
        <v>577</v>
      </c>
      <c r="E39" s="111">
        <v>129294</v>
      </c>
      <c r="F39" s="110">
        <f>_xlfn.COMPOUNDVALUE(107)</f>
        <v>958</v>
      </c>
      <c r="G39" s="111">
        <v>238640</v>
      </c>
      <c r="H39" s="110">
        <f>_xlfn.COMPOUNDVALUE(108)</f>
        <v>32</v>
      </c>
      <c r="I39" s="112">
        <v>15871</v>
      </c>
      <c r="J39" s="110">
        <v>40</v>
      </c>
      <c r="K39" s="112">
        <v>8401</v>
      </c>
      <c r="L39" s="110">
        <v>1009</v>
      </c>
      <c r="M39" s="112">
        <v>231170</v>
      </c>
      <c r="N39" s="113" t="s">
        <v>110</v>
      </c>
    </row>
    <row r="40" spans="1:14" s="114" customFormat="1" ht="15.75" customHeight="1">
      <c r="A40" s="109" t="s">
        <v>111</v>
      </c>
      <c r="B40" s="110">
        <f>_xlfn.COMPOUNDVALUE(109)</f>
        <v>864</v>
      </c>
      <c r="C40" s="111">
        <v>249232</v>
      </c>
      <c r="D40" s="110">
        <f>_xlfn.COMPOUNDVALUE(110)</f>
        <v>1052</v>
      </c>
      <c r="E40" s="111">
        <v>236563</v>
      </c>
      <c r="F40" s="110">
        <f>_xlfn.COMPOUNDVALUE(111)</f>
        <v>1916</v>
      </c>
      <c r="G40" s="111">
        <v>485795</v>
      </c>
      <c r="H40" s="110">
        <f>_xlfn.COMPOUNDVALUE(112)</f>
        <v>87</v>
      </c>
      <c r="I40" s="112">
        <v>25822</v>
      </c>
      <c r="J40" s="110">
        <v>76</v>
      </c>
      <c r="K40" s="112">
        <v>12628</v>
      </c>
      <c r="L40" s="110">
        <v>2039</v>
      </c>
      <c r="M40" s="112">
        <v>472601</v>
      </c>
      <c r="N40" s="113" t="s">
        <v>112</v>
      </c>
    </row>
    <row r="41" spans="1:14" s="114" customFormat="1" ht="15.75" customHeight="1">
      <c r="A41" s="109" t="s">
        <v>113</v>
      </c>
      <c r="B41" s="110">
        <f>_xlfn.COMPOUNDVALUE(113)</f>
        <v>584</v>
      </c>
      <c r="C41" s="111">
        <v>136149</v>
      </c>
      <c r="D41" s="110">
        <f>_xlfn.COMPOUNDVALUE(114)</f>
        <v>616</v>
      </c>
      <c r="E41" s="111">
        <v>124910</v>
      </c>
      <c r="F41" s="110">
        <f>_xlfn.COMPOUNDVALUE(115)</f>
        <v>1200</v>
      </c>
      <c r="G41" s="111">
        <v>261059</v>
      </c>
      <c r="H41" s="110">
        <f>_xlfn.COMPOUNDVALUE(116)</f>
        <v>27</v>
      </c>
      <c r="I41" s="112">
        <v>2850</v>
      </c>
      <c r="J41" s="110">
        <v>28</v>
      </c>
      <c r="K41" s="112">
        <v>5745</v>
      </c>
      <c r="L41" s="110">
        <v>1241</v>
      </c>
      <c r="M41" s="112">
        <v>263955</v>
      </c>
      <c r="N41" s="113" t="s">
        <v>114</v>
      </c>
    </row>
    <row r="42" spans="1:14" s="114" customFormat="1" ht="15.75" customHeight="1">
      <c r="A42" s="115" t="s">
        <v>115</v>
      </c>
      <c r="B42" s="116">
        <f>_xlfn.COMPOUNDVALUE(117)</f>
        <v>568</v>
      </c>
      <c r="C42" s="117">
        <v>167353</v>
      </c>
      <c r="D42" s="116">
        <f>_xlfn.COMPOUNDVALUE(118)</f>
        <v>509</v>
      </c>
      <c r="E42" s="117">
        <v>114957</v>
      </c>
      <c r="F42" s="116">
        <f>_xlfn.COMPOUNDVALUE(119)</f>
        <v>1077</v>
      </c>
      <c r="G42" s="117">
        <v>282309</v>
      </c>
      <c r="H42" s="116">
        <f>_xlfn.COMPOUNDVALUE(120)</f>
        <v>124</v>
      </c>
      <c r="I42" s="118">
        <v>27959</v>
      </c>
      <c r="J42" s="116">
        <v>61</v>
      </c>
      <c r="K42" s="118">
        <v>5662</v>
      </c>
      <c r="L42" s="116">
        <v>1217</v>
      </c>
      <c r="M42" s="118">
        <v>260011</v>
      </c>
      <c r="N42" s="119" t="s">
        <v>116</v>
      </c>
    </row>
    <row r="43" spans="1:14" s="114" customFormat="1" ht="15.75" customHeight="1">
      <c r="A43" s="115" t="s">
        <v>117</v>
      </c>
      <c r="B43" s="116">
        <f>_xlfn.COMPOUNDVALUE(121)</f>
        <v>230</v>
      </c>
      <c r="C43" s="117">
        <v>75689</v>
      </c>
      <c r="D43" s="116">
        <f>_xlfn.COMPOUNDVALUE(122)</f>
        <v>409</v>
      </c>
      <c r="E43" s="117">
        <v>85476</v>
      </c>
      <c r="F43" s="116">
        <f>_xlfn.COMPOUNDVALUE(123)</f>
        <v>639</v>
      </c>
      <c r="G43" s="117">
        <v>161165</v>
      </c>
      <c r="H43" s="116">
        <f>_xlfn.COMPOUNDVALUE(124)</f>
        <v>6</v>
      </c>
      <c r="I43" s="118">
        <v>1118</v>
      </c>
      <c r="J43" s="116">
        <v>23</v>
      </c>
      <c r="K43" s="118">
        <v>987</v>
      </c>
      <c r="L43" s="116">
        <v>647</v>
      </c>
      <c r="M43" s="118">
        <v>161034</v>
      </c>
      <c r="N43" s="119" t="s">
        <v>118</v>
      </c>
    </row>
    <row r="44" spans="1:14" s="114" customFormat="1" ht="15.75" customHeight="1">
      <c r="A44" s="115" t="s">
        <v>119</v>
      </c>
      <c r="B44" s="116">
        <f>_xlfn.COMPOUNDVALUE(125)</f>
        <v>261</v>
      </c>
      <c r="C44" s="117">
        <v>71687</v>
      </c>
      <c r="D44" s="116">
        <f>_xlfn.COMPOUNDVALUE(126)</f>
        <v>419</v>
      </c>
      <c r="E44" s="117">
        <v>91514</v>
      </c>
      <c r="F44" s="116">
        <f>_xlfn.COMPOUNDVALUE(127)</f>
        <v>680</v>
      </c>
      <c r="G44" s="117">
        <v>163201</v>
      </c>
      <c r="H44" s="116">
        <f>_xlfn.COMPOUNDVALUE(128)</f>
        <v>13</v>
      </c>
      <c r="I44" s="118">
        <v>2951</v>
      </c>
      <c r="J44" s="116">
        <v>21</v>
      </c>
      <c r="K44" s="118">
        <v>2504</v>
      </c>
      <c r="L44" s="116">
        <v>700</v>
      </c>
      <c r="M44" s="118">
        <v>162754</v>
      </c>
      <c r="N44" s="119" t="s">
        <v>120</v>
      </c>
    </row>
    <row r="45" spans="1:14" s="114" customFormat="1" ht="15.75" customHeight="1">
      <c r="A45" s="115" t="s">
        <v>121</v>
      </c>
      <c r="B45" s="116">
        <f>_xlfn.COMPOUNDVALUE(129)</f>
        <v>469</v>
      </c>
      <c r="C45" s="117">
        <v>146207</v>
      </c>
      <c r="D45" s="116">
        <f>_xlfn.COMPOUNDVALUE(130)</f>
        <v>1038</v>
      </c>
      <c r="E45" s="117">
        <v>233915</v>
      </c>
      <c r="F45" s="116">
        <f>_xlfn.COMPOUNDVALUE(131)</f>
        <v>1507</v>
      </c>
      <c r="G45" s="117">
        <v>380122</v>
      </c>
      <c r="H45" s="116">
        <f>_xlfn.COMPOUNDVALUE(132)</f>
        <v>35</v>
      </c>
      <c r="I45" s="118">
        <v>17003</v>
      </c>
      <c r="J45" s="116">
        <v>86</v>
      </c>
      <c r="K45" s="118">
        <v>5591</v>
      </c>
      <c r="L45" s="116">
        <v>1558</v>
      </c>
      <c r="M45" s="118">
        <v>368710</v>
      </c>
      <c r="N45" s="119" t="s">
        <v>122</v>
      </c>
    </row>
    <row r="46" spans="1:14" s="114" customFormat="1" ht="15.75" customHeight="1">
      <c r="A46" s="115" t="s">
        <v>123</v>
      </c>
      <c r="B46" s="116">
        <f>_xlfn.COMPOUNDVALUE(133)</f>
        <v>274</v>
      </c>
      <c r="C46" s="117">
        <v>70429</v>
      </c>
      <c r="D46" s="116">
        <f>_xlfn.COMPOUNDVALUE(134)</f>
        <v>343</v>
      </c>
      <c r="E46" s="117">
        <v>79373</v>
      </c>
      <c r="F46" s="116">
        <f>_xlfn.COMPOUNDVALUE(135)</f>
        <v>617</v>
      </c>
      <c r="G46" s="117">
        <v>149802</v>
      </c>
      <c r="H46" s="116">
        <f>_xlfn.COMPOUNDVALUE(136)</f>
        <v>15</v>
      </c>
      <c r="I46" s="118">
        <v>9636</v>
      </c>
      <c r="J46" s="116">
        <v>21</v>
      </c>
      <c r="K46" s="118">
        <v>1001</v>
      </c>
      <c r="L46" s="116">
        <v>636</v>
      </c>
      <c r="M46" s="118">
        <v>141167</v>
      </c>
      <c r="N46" s="119" t="s">
        <v>124</v>
      </c>
    </row>
    <row r="47" spans="1:14" s="114" customFormat="1" ht="15.75" customHeight="1">
      <c r="A47" s="115" t="s">
        <v>125</v>
      </c>
      <c r="B47" s="116">
        <f>_xlfn.COMPOUNDVALUE(137)</f>
        <v>629</v>
      </c>
      <c r="C47" s="117">
        <v>180777</v>
      </c>
      <c r="D47" s="116">
        <f>_xlfn.COMPOUNDVALUE(138)</f>
        <v>935</v>
      </c>
      <c r="E47" s="117">
        <v>218146</v>
      </c>
      <c r="F47" s="116">
        <f>_xlfn.COMPOUNDVALUE(139)</f>
        <v>1564</v>
      </c>
      <c r="G47" s="117">
        <v>398923</v>
      </c>
      <c r="H47" s="116">
        <f>_xlfn.COMPOUNDVALUE(140)</f>
        <v>47</v>
      </c>
      <c r="I47" s="118">
        <v>16361</v>
      </c>
      <c r="J47" s="116">
        <v>111</v>
      </c>
      <c r="K47" s="118">
        <v>6400</v>
      </c>
      <c r="L47" s="116">
        <v>1642</v>
      </c>
      <c r="M47" s="118">
        <v>388961</v>
      </c>
      <c r="N47" s="119" t="s">
        <v>126</v>
      </c>
    </row>
    <row r="48" spans="1:14" s="114" customFormat="1" ht="15.75" customHeight="1">
      <c r="A48" s="115" t="s">
        <v>127</v>
      </c>
      <c r="B48" s="116">
        <f>_xlfn.COMPOUNDVALUE(141)</f>
        <v>488</v>
      </c>
      <c r="C48" s="117">
        <v>146582</v>
      </c>
      <c r="D48" s="116">
        <f>_xlfn.COMPOUNDVALUE(142)</f>
        <v>817</v>
      </c>
      <c r="E48" s="117">
        <v>184415</v>
      </c>
      <c r="F48" s="116">
        <f>_xlfn.COMPOUNDVALUE(143)</f>
        <v>1305</v>
      </c>
      <c r="G48" s="117">
        <v>330997</v>
      </c>
      <c r="H48" s="116">
        <f>_xlfn.COMPOUNDVALUE(144)</f>
        <v>60</v>
      </c>
      <c r="I48" s="118">
        <v>19405</v>
      </c>
      <c r="J48" s="116">
        <v>75</v>
      </c>
      <c r="K48" s="118">
        <v>5648</v>
      </c>
      <c r="L48" s="116">
        <v>1383</v>
      </c>
      <c r="M48" s="118">
        <v>317240</v>
      </c>
      <c r="N48" s="119" t="s">
        <v>128</v>
      </c>
    </row>
    <row r="49" spans="1:14" s="114" customFormat="1" ht="15.75" customHeight="1">
      <c r="A49" s="148" t="s">
        <v>129</v>
      </c>
      <c r="B49" s="149">
        <v>6545</v>
      </c>
      <c r="C49" s="150">
        <v>1995957</v>
      </c>
      <c r="D49" s="149">
        <v>9185</v>
      </c>
      <c r="E49" s="150">
        <v>2129730</v>
      </c>
      <c r="F49" s="149">
        <v>15730</v>
      </c>
      <c r="G49" s="150">
        <v>4125687</v>
      </c>
      <c r="H49" s="149">
        <v>538</v>
      </c>
      <c r="I49" s="151">
        <v>184287</v>
      </c>
      <c r="J49" s="149">
        <v>746</v>
      </c>
      <c r="K49" s="151">
        <v>75942</v>
      </c>
      <c r="L49" s="149">
        <v>16510</v>
      </c>
      <c r="M49" s="151">
        <v>4017342</v>
      </c>
      <c r="N49" s="152" t="s">
        <v>130</v>
      </c>
    </row>
    <row r="50" spans="1:15" s="114" customFormat="1" ht="15.75" customHeight="1" thickBot="1">
      <c r="A50" s="158"/>
      <c r="B50" s="159"/>
      <c r="C50" s="160"/>
      <c r="D50" s="159"/>
      <c r="E50" s="160"/>
      <c r="F50" s="161"/>
      <c r="G50" s="160"/>
      <c r="H50" s="161"/>
      <c r="I50" s="160"/>
      <c r="J50" s="161"/>
      <c r="K50" s="160"/>
      <c r="L50" s="161"/>
      <c r="M50" s="160"/>
      <c r="N50" s="162"/>
      <c r="O50" s="120"/>
    </row>
    <row r="51" spans="1:14" s="114" customFormat="1" ht="15.75" customHeight="1" thickBot="1" thickTop="1">
      <c r="A51" s="121" t="s">
        <v>131</v>
      </c>
      <c r="B51" s="122">
        <v>21874</v>
      </c>
      <c r="C51" s="123">
        <v>6908445</v>
      </c>
      <c r="D51" s="122">
        <v>36486</v>
      </c>
      <c r="E51" s="123">
        <v>8454531</v>
      </c>
      <c r="F51" s="122">
        <v>58360</v>
      </c>
      <c r="G51" s="123">
        <v>15362976</v>
      </c>
      <c r="H51" s="122">
        <v>1626</v>
      </c>
      <c r="I51" s="124">
        <v>589703</v>
      </c>
      <c r="J51" s="122">
        <v>2993</v>
      </c>
      <c r="K51" s="124">
        <v>346251</v>
      </c>
      <c r="L51" s="122">
        <v>61066</v>
      </c>
      <c r="M51" s="124">
        <v>15119524</v>
      </c>
      <c r="N51" s="125" t="s">
        <v>132</v>
      </c>
    </row>
    <row r="52" spans="1:14" s="128" customFormat="1" ht="3.75" customHeight="1">
      <c r="A52" s="126"/>
      <c r="B52" s="127"/>
      <c r="C52" s="127"/>
      <c r="D52" s="127"/>
      <c r="E52" s="127"/>
      <c r="F52" s="127"/>
      <c r="G52" s="127"/>
      <c r="H52" s="127"/>
      <c r="I52" s="127"/>
      <c r="J52" s="127"/>
      <c r="K52" s="127"/>
      <c r="L52" s="127"/>
      <c r="M52" s="127"/>
      <c r="N52" s="126"/>
    </row>
    <row r="53" spans="1:14" s="131" customFormat="1" ht="13.5" customHeight="1">
      <c r="A53" s="211" t="s">
        <v>157</v>
      </c>
      <c r="B53" s="211"/>
      <c r="C53" s="211"/>
      <c r="D53" s="211"/>
      <c r="E53" s="211"/>
      <c r="F53" s="211"/>
      <c r="G53" s="211"/>
      <c r="H53" s="211"/>
      <c r="I53" s="211"/>
      <c r="J53" s="129"/>
      <c r="K53" s="129"/>
      <c r="L53" s="130"/>
      <c r="M53" s="130"/>
      <c r="N53" s="130"/>
    </row>
    <row r="55" spans="2:10" ht="13.5">
      <c r="B55" s="132"/>
      <c r="C55" s="132"/>
      <c r="D55" s="132"/>
      <c r="E55" s="132"/>
      <c r="F55" s="132"/>
      <c r="G55" s="132"/>
      <c r="H55" s="132"/>
      <c r="J55" s="132"/>
    </row>
    <row r="56" spans="2:10" ht="13.5">
      <c r="B56" s="132"/>
      <c r="C56" s="132"/>
      <c r="D56" s="132"/>
      <c r="E56" s="132"/>
      <c r="F56" s="132"/>
      <c r="G56" s="132"/>
      <c r="H56" s="132"/>
      <c r="J56" s="132"/>
    </row>
    <row r="57" spans="2:10" ht="13.5">
      <c r="B57" s="132"/>
      <c r="C57" s="132"/>
      <c r="D57" s="132"/>
      <c r="E57" s="132"/>
      <c r="F57" s="132"/>
      <c r="G57" s="132"/>
      <c r="H57" s="132"/>
      <c r="J57" s="132"/>
    </row>
    <row r="58" spans="2:10" ht="13.5">
      <c r="B58" s="132"/>
      <c r="C58" s="132"/>
      <c r="D58" s="132"/>
      <c r="E58" s="132"/>
      <c r="F58" s="132"/>
      <c r="G58" s="132"/>
      <c r="H58" s="132"/>
      <c r="J58" s="132"/>
    </row>
    <row r="59" spans="2:10" ht="13.5">
      <c r="B59" s="132"/>
      <c r="C59" s="132"/>
      <c r="D59" s="132"/>
      <c r="E59" s="132"/>
      <c r="F59" s="132"/>
      <c r="G59" s="132"/>
      <c r="H59" s="132"/>
      <c r="J59" s="132"/>
    </row>
    <row r="60" spans="2:10" ht="13.5">
      <c r="B60" s="132"/>
      <c r="C60" s="132"/>
      <c r="D60" s="132"/>
      <c r="E60" s="132"/>
      <c r="F60" s="132"/>
      <c r="G60" s="132"/>
      <c r="H60" s="132"/>
      <c r="J60" s="132"/>
    </row>
    <row r="61" spans="2:10" ht="13.5">
      <c r="B61" s="132"/>
      <c r="C61" s="132"/>
      <c r="D61" s="132"/>
      <c r="E61" s="132"/>
      <c r="F61" s="132"/>
      <c r="G61" s="132"/>
      <c r="H61" s="132"/>
      <c r="J61" s="132"/>
    </row>
    <row r="62" spans="2:10" ht="13.5">
      <c r="B62" s="132"/>
      <c r="C62" s="132"/>
      <c r="D62" s="132"/>
      <c r="E62" s="132"/>
      <c r="F62" s="132"/>
      <c r="G62" s="132"/>
      <c r="H62" s="132"/>
      <c r="J62" s="132"/>
    </row>
    <row r="63" spans="2:10" ht="13.5">
      <c r="B63" s="132"/>
      <c r="C63" s="132"/>
      <c r="D63" s="132"/>
      <c r="E63" s="132"/>
      <c r="F63" s="132"/>
      <c r="G63" s="132"/>
      <c r="H63" s="132"/>
      <c r="J63" s="132"/>
    </row>
    <row r="64" spans="2:10" ht="13.5">
      <c r="B64" s="132"/>
      <c r="C64" s="132"/>
      <c r="D64" s="132"/>
      <c r="E64" s="132"/>
      <c r="F64" s="132"/>
      <c r="G64" s="132"/>
      <c r="H64" s="132"/>
      <c r="J64" s="132"/>
    </row>
    <row r="65" spans="2:10" ht="13.5">
      <c r="B65" s="132"/>
      <c r="C65" s="132"/>
      <c r="D65" s="132"/>
      <c r="E65" s="132"/>
      <c r="F65" s="132"/>
      <c r="G65" s="132"/>
      <c r="H65" s="132"/>
      <c r="J65" s="132"/>
    </row>
    <row r="66" spans="2:10" ht="13.5">
      <c r="B66" s="132"/>
      <c r="C66" s="132"/>
      <c r="D66" s="132"/>
      <c r="E66" s="132"/>
      <c r="F66" s="132"/>
      <c r="G66" s="132"/>
      <c r="H66" s="132"/>
      <c r="J66" s="132"/>
    </row>
    <row r="67" spans="2:10" ht="13.5">
      <c r="B67" s="132"/>
      <c r="C67" s="132"/>
      <c r="D67" s="132"/>
      <c r="E67" s="132"/>
      <c r="F67" s="132"/>
      <c r="G67" s="132"/>
      <c r="H67" s="132"/>
      <c r="J67" s="132"/>
    </row>
  </sheetData>
  <sheetProtection/>
  <mergeCells count="11">
    <mergeCell ref="L3:M4"/>
    <mergeCell ref="N3:N5"/>
    <mergeCell ref="B4:C4"/>
    <mergeCell ref="D4:E4"/>
    <mergeCell ref="F4:G4"/>
    <mergeCell ref="A53:I53"/>
    <mergeCell ref="A2:G2"/>
    <mergeCell ref="A3:A5"/>
    <mergeCell ref="B3:G3"/>
    <mergeCell ref="H3:I4"/>
    <mergeCell ref="J3:K4"/>
  </mergeCells>
  <printOptions/>
  <pageMargins left="0.7874015748031497" right="0.6299212598425197" top="0.984251968503937" bottom="0.984251968503937" header="0.5118110236220472" footer="0.5118110236220472"/>
  <pageSetup horizontalDpi="600" verticalDpi="600" orientation="landscape" paperSize="9" scale="81" r:id="rId1"/>
  <headerFooter alignWithMargins="0">
    <oddFooter>&amp;R熊本国税局
消費税
（H24）</oddFooter>
  </headerFooter>
  <rowBreaks count="1" manualBreakCount="1">
    <brk id="37" max="255" man="1"/>
  </rowBreaks>
</worksheet>
</file>

<file path=xl/worksheets/sheet5.xml><?xml version="1.0" encoding="utf-8"?>
<worksheet xmlns="http://schemas.openxmlformats.org/spreadsheetml/2006/main" xmlns:r="http://schemas.openxmlformats.org/officeDocument/2006/relationships">
  <dimension ref="A1:N53"/>
  <sheetViews>
    <sheetView view="pageBreakPreview" zoomScaleSheetLayoutView="100" workbookViewId="0" topLeftCell="D34">
      <selection activeCell="I24" sqref="I24"/>
    </sheetView>
  </sheetViews>
  <sheetFormatPr defaultColWidth="9.00390625" defaultRowHeight="13.5"/>
  <cols>
    <col min="1" max="1" width="11.125" style="96" customWidth="1"/>
    <col min="2" max="2" width="10.625" style="96" customWidth="1"/>
    <col min="3" max="3" width="12.625" style="96" customWidth="1"/>
    <col min="4" max="4" width="10.625" style="96" customWidth="1"/>
    <col min="5" max="5" width="12.625" style="96" customWidth="1"/>
    <col min="6" max="6" width="10.625" style="96" customWidth="1"/>
    <col min="7" max="7" width="12.625" style="96" customWidth="1"/>
    <col min="8" max="8" width="10.625" style="96" customWidth="1"/>
    <col min="9" max="9" width="12.625" style="96" customWidth="1"/>
    <col min="10" max="10" width="10.625" style="96" customWidth="1"/>
    <col min="11" max="11" width="12.625" style="96" customWidth="1"/>
    <col min="12" max="12" width="10.625" style="96" customWidth="1"/>
    <col min="13" max="13" width="12.625" style="96" customWidth="1"/>
    <col min="14" max="14" width="11.375" style="96" customWidth="1"/>
    <col min="15" max="16384" width="9.00390625" style="96" customWidth="1"/>
  </cols>
  <sheetData>
    <row r="1" spans="1:13" ht="13.5">
      <c r="A1" s="94" t="s">
        <v>133</v>
      </c>
      <c r="B1" s="94"/>
      <c r="C1" s="94"/>
      <c r="D1" s="94"/>
      <c r="E1" s="94"/>
      <c r="F1" s="94"/>
      <c r="G1" s="94"/>
      <c r="H1" s="94"/>
      <c r="I1" s="94"/>
      <c r="J1" s="94"/>
      <c r="K1" s="94"/>
      <c r="L1" s="95"/>
      <c r="M1" s="95"/>
    </row>
    <row r="2" spans="1:13" ht="14.25" thickBot="1">
      <c r="A2" s="222" t="s">
        <v>134</v>
      </c>
      <c r="B2" s="222"/>
      <c r="C2" s="222"/>
      <c r="D2" s="222"/>
      <c r="E2" s="222"/>
      <c r="F2" s="222"/>
      <c r="G2" s="222"/>
      <c r="H2" s="222"/>
      <c r="I2" s="222"/>
      <c r="J2" s="133"/>
      <c r="K2" s="133"/>
      <c r="L2" s="95"/>
      <c r="M2" s="95"/>
    </row>
    <row r="3" spans="1:14" ht="19.5" customHeight="1">
      <c r="A3" s="213" t="s">
        <v>42</v>
      </c>
      <c r="B3" s="216" t="s">
        <v>43</v>
      </c>
      <c r="C3" s="216"/>
      <c r="D3" s="216"/>
      <c r="E3" s="216"/>
      <c r="F3" s="216"/>
      <c r="G3" s="216"/>
      <c r="H3" s="217" t="s">
        <v>12</v>
      </c>
      <c r="I3" s="218"/>
      <c r="J3" s="220" t="s">
        <v>44</v>
      </c>
      <c r="K3" s="218"/>
      <c r="L3" s="217" t="s">
        <v>45</v>
      </c>
      <c r="M3" s="218"/>
      <c r="N3" s="205" t="s">
        <v>135</v>
      </c>
    </row>
    <row r="4" spans="1:14" ht="17.25" customHeight="1">
      <c r="A4" s="214"/>
      <c r="B4" s="209" t="s">
        <v>17</v>
      </c>
      <c r="C4" s="210"/>
      <c r="D4" s="209" t="s">
        <v>47</v>
      </c>
      <c r="E4" s="210"/>
      <c r="F4" s="209" t="s">
        <v>48</v>
      </c>
      <c r="G4" s="210"/>
      <c r="H4" s="209"/>
      <c r="I4" s="219"/>
      <c r="J4" s="209"/>
      <c r="K4" s="219"/>
      <c r="L4" s="209"/>
      <c r="M4" s="219"/>
      <c r="N4" s="206"/>
    </row>
    <row r="5" spans="1:14" ht="28.5" customHeight="1">
      <c r="A5" s="215"/>
      <c r="B5" s="97" t="s">
        <v>49</v>
      </c>
      <c r="C5" s="98" t="s">
        <v>50</v>
      </c>
      <c r="D5" s="97" t="s">
        <v>49</v>
      </c>
      <c r="E5" s="98" t="s">
        <v>50</v>
      </c>
      <c r="F5" s="97" t="s">
        <v>49</v>
      </c>
      <c r="G5" s="99" t="s">
        <v>51</v>
      </c>
      <c r="H5" s="97" t="s">
        <v>49</v>
      </c>
      <c r="I5" s="100" t="s">
        <v>52</v>
      </c>
      <c r="J5" s="97" t="s">
        <v>49</v>
      </c>
      <c r="K5" s="100" t="s">
        <v>53</v>
      </c>
      <c r="L5" s="97" t="s">
        <v>49</v>
      </c>
      <c r="M5" s="101" t="s">
        <v>54</v>
      </c>
      <c r="N5" s="207"/>
    </row>
    <row r="6" spans="1:14" s="134" customFormat="1" ht="10.5">
      <c r="A6" s="103"/>
      <c r="B6" s="104" t="s">
        <v>4</v>
      </c>
      <c r="C6" s="105" t="s">
        <v>5</v>
      </c>
      <c r="D6" s="104" t="s">
        <v>4</v>
      </c>
      <c r="E6" s="105" t="s">
        <v>5</v>
      </c>
      <c r="F6" s="104" t="s">
        <v>4</v>
      </c>
      <c r="G6" s="105" t="s">
        <v>5</v>
      </c>
      <c r="H6" s="104" t="s">
        <v>4</v>
      </c>
      <c r="I6" s="106" t="s">
        <v>5</v>
      </c>
      <c r="J6" s="104" t="s">
        <v>4</v>
      </c>
      <c r="K6" s="106" t="s">
        <v>5</v>
      </c>
      <c r="L6" s="104" t="s">
        <v>4</v>
      </c>
      <c r="M6" s="106" t="s">
        <v>5</v>
      </c>
      <c r="N6" s="107"/>
    </row>
    <row r="7" spans="1:14" ht="15.75" customHeight="1">
      <c r="A7" s="109" t="s">
        <v>55</v>
      </c>
      <c r="B7" s="110">
        <f>_xlfn.COMPOUNDVALUE(145)</f>
        <v>5533</v>
      </c>
      <c r="C7" s="111">
        <v>24553193</v>
      </c>
      <c r="D7" s="110">
        <f>_xlfn.COMPOUNDVALUE(146)</f>
        <v>2668</v>
      </c>
      <c r="E7" s="111">
        <v>953151</v>
      </c>
      <c r="F7" s="110">
        <f>_xlfn.COMPOUNDVALUE(147)</f>
        <v>8201</v>
      </c>
      <c r="G7" s="111">
        <v>25506344</v>
      </c>
      <c r="H7" s="110">
        <f>_xlfn.COMPOUNDVALUE(148)</f>
        <v>272</v>
      </c>
      <c r="I7" s="112">
        <v>492325</v>
      </c>
      <c r="J7" s="110">
        <v>441</v>
      </c>
      <c r="K7" s="112">
        <v>-56334</v>
      </c>
      <c r="L7" s="110">
        <v>8517</v>
      </c>
      <c r="M7" s="112">
        <v>24957685</v>
      </c>
      <c r="N7" s="113" t="s">
        <v>55</v>
      </c>
    </row>
    <row r="8" spans="1:14" ht="15.75" customHeight="1">
      <c r="A8" s="115" t="s">
        <v>56</v>
      </c>
      <c r="B8" s="116">
        <f>_xlfn.COMPOUNDVALUE(149)</f>
        <v>2655</v>
      </c>
      <c r="C8" s="117">
        <v>9148925</v>
      </c>
      <c r="D8" s="116">
        <f>_xlfn.COMPOUNDVALUE(150)</f>
        <v>1292</v>
      </c>
      <c r="E8" s="117">
        <v>478360</v>
      </c>
      <c r="F8" s="116">
        <f>_xlfn.COMPOUNDVALUE(151)</f>
        <v>3947</v>
      </c>
      <c r="G8" s="117">
        <v>9627285</v>
      </c>
      <c r="H8" s="116">
        <f>_xlfn.COMPOUNDVALUE(152)</f>
        <v>120</v>
      </c>
      <c r="I8" s="118">
        <v>246745</v>
      </c>
      <c r="J8" s="116">
        <v>149</v>
      </c>
      <c r="K8" s="118">
        <v>26302</v>
      </c>
      <c r="L8" s="116">
        <v>4092</v>
      </c>
      <c r="M8" s="118">
        <v>9406842</v>
      </c>
      <c r="N8" s="119" t="s">
        <v>56</v>
      </c>
    </row>
    <row r="9" spans="1:14" ht="15.75" customHeight="1">
      <c r="A9" s="115" t="s">
        <v>57</v>
      </c>
      <c r="B9" s="116">
        <f>_xlfn.COMPOUNDVALUE(153)</f>
        <v>1452</v>
      </c>
      <c r="C9" s="117">
        <v>3567421</v>
      </c>
      <c r="D9" s="116">
        <f>_xlfn.COMPOUNDVALUE(154)</f>
        <v>753</v>
      </c>
      <c r="E9" s="117">
        <v>264394</v>
      </c>
      <c r="F9" s="116">
        <f>_xlfn.COMPOUNDVALUE(155)</f>
        <v>2205</v>
      </c>
      <c r="G9" s="117">
        <v>3831815</v>
      </c>
      <c r="H9" s="116">
        <f>_xlfn.COMPOUNDVALUE(156)</f>
        <v>61</v>
      </c>
      <c r="I9" s="118">
        <v>143354</v>
      </c>
      <c r="J9" s="116">
        <v>95</v>
      </c>
      <c r="K9" s="118">
        <v>7609</v>
      </c>
      <c r="L9" s="116">
        <v>2275</v>
      </c>
      <c r="M9" s="118">
        <v>3696071</v>
      </c>
      <c r="N9" s="119" t="s">
        <v>58</v>
      </c>
    </row>
    <row r="10" spans="1:14" ht="15.75" customHeight="1">
      <c r="A10" s="115" t="s">
        <v>59</v>
      </c>
      <c r="B10" s="116">
        <f>_xlfn.COMPOUNDVALUE(157)</f>
        <v>727</v>
      </c>
      <c r="C10" s="117">
        <v>2299327</v>
      </c>
      <c r="D10" s="116">
        <f>_xlfn.COMPOUNDVALUE(158)</f>
        <v>364</v>
      </c>
      <c r="E10" s="117">
        <v>127852</v>
      </c>
      <c r="F10" s="116">
        <f>_xlfn.COMPOUNDVALUE(159)</f>
        <v>1091</v>
      </c>
      <c r="G10" s="117">
        <v>2427178</v>
      </c>
      <c r="H10" s="116">
        <f>_xlfn.COMPOUNDVALUE(160)</f>
        <v>29</v>
      </c>
      <c r="I10" s="118">
        <v>48148</v>
      </c>
      <c r="J10" s="116">
        <v>44</v>
      </c>
      <c r="K10" s="118">
        <v>3711</v>
      </c>
      <c r="L10" s="116">
        <v>1130</v>
      </c>
      <c r="M10" s="118">
        <v>2382742</v>
      </c>
      <c r="N10" s="119" t="s">
        <v>60</v>
      </c>
    </row>
    <row r="11" spans="1:14" ht="15.75" customHeight="1">
      <c r="A11" s="115" t="s">
        <v>61</v>
      </c>
      <c r="B11" s="116">
        <f>_xlfn.COMPOUNDVALUE(161)</f>
        <v>1081</v>
      </c>
      <c r="C11" s="117">
        <v>3259175</v>
      </c>
      <c r="D11" s="116">
        <f>_xlfn.COMPOUNDVALUE(162)</f>
        <v>480</v>
      </c>
      <c r="E11" s="117">
        <v>168804</v>
      </c>
      <c r="F11" s="116">
        <f>_xlfn.COMPOUNDVALUE(163)</f>
        <v>1561</v>
      </c>
      <c r="G11" s="117">
        <v>3427978</v>
      </c>
      <c r="H11" s="116">
        <f>_xlfn.COMPOUNDVALUE(164)</f>
        <v>44</v>
      </c>
      <c r="I11" s="118">
        <v>216737</v>
      </c>
      <c r="J11" s="116">
        <v>83</v>
      </c>
      <c r="K11" s="118">
        <v>22802</v>
      </c>
      <c r="L11" s="116">
        <v>1613</v>
      </c>
      <c r="M11" s="118">
        <v>3234044</v>
      </c>
      <c r="N11" s="119" t="s">
        <v>62</v>
      </c>
    </row>
    <row r="12" spans="1:14" ht="15.75" customHeight="1">
      <c r="A12" s="115" t="s">
        <v>63</v>
      </c>
      <c r="B12" s="116">
        <f>_xlfn.COMPOUNDVALUE(165)</f>
        <v>1057</v>
      </c>
      <c r="C12" s="117">
        <v>2309275</v>
      </c>
      <c r="D12" s="116">
        <f>_xlfn.COMPOUNDVALUE(166)</f>
        <v>472</v>
      </c>
      <c r="E12" s="117">
        <v>167989</v>
      </c>
      <c r="F12" s="116">
        <f>_xlfn.COMPOUNDVALUE(167)</f>
        <v>1529</v>
      </c>
      <c r="G12" s="117">
        <v>2477265</v>
      </c>
      <c r="H12" s="116">
        <f>_xlfn.COMPOUNDVALUE(168)</f>
        <v>38</v>
      </c>
      <c r="I12" s="118">
        <v>83229</v>
      </c>
      <c r="J12" s="116">
        <v>92</v>
      </c>
      <c r="K12" s="118">
        <v>10818</v>
      </c>
      <c r="L12" s="116">
        <v>1579</v>
      </c>
      <c r="M12" s="118">
        <v>2404853</v>
      </c>
      <c r="N12" s="119" t="s">
        <v>64</v>
      </c>
    </row>
    <row r="13" spans="1:14" ht="15.75" customHeight="1">
      <c r="A13" s="115" t="s">
        <v>65</v>
      </c>
      <c r="B13" s="116">
        <f>_xlfn.COMPOUNDVALUE(169)</f>
        <v>449</v>
      </c>
      <c r="C13" s="117">
        <v>992603</v>
      </c>
      <c r="D13" s="116">
        <f>_xlfn.COMPOUNDVALUE(170)</f>
        <v>235</v>
      </c>
      <c r="E13" s="117">
        <v>72944</v>
      </c>
      <c r="F13" s="116">
        <f>_xlfn.COMPOUNDVALUE(171)</f>
        <v>684</v>
      </c>
      <c r="G13" s="117">
        <v>1065547</v>
      </c>
      <c r="H13" s="116">
        <f>_xlfn.COMPOUNDVALUE(172)</f>
        <v>19</v>
      </c>
      <c r="I13" s="118">
        <v>453409</v>
      </c>
      <c r="J13" s="116">
        <v>50</v>
      </c>
      <c r="K13" s="118">
        <v>-2117</v>
      </c>
      <c r="L13" s="116">
        <v>710</v>
      </c>
      <c r="M13" s="118">
        <v>610020</v>
      </c>
      <c r="N13" s="119" t="s">
        <v>66</v>
      </c>
    </row>
    <row r="14" spans="1:14" ht="15.75" customHeight="1">
      <c r="A14" s="115" t="s">
        <v>67</v>
      </c>
      <c r="B14" s="116">
        <f>_xlfn.COMPOUNDVALUE(173)</f>
        <v>1263</v>
      </c>
      <c r="C14" s="117">
        <v>6249626</v>
      </c>
      <c r="D14" s="116">
        <f>_xlfn.COMPOUNDVALUE(174)</f>
        <v>512</v>
      </c>
      <c r="E14" s="117">
        <v>183584</v>
      </c>
      <c r="F14" s="116">
        <f>_xlfn.COMPOUNDVALUE(175)</f>
        <v>1775</v>
      </c>
      <c r="G14" s="117">
        <v>6433209</v>
      </c>
      <c r="H14" s="116">
        <f>_xlfn.COMPOUNDVALUE(176)</f>
        <v>69</v>
      </c>
      <c r="I14" s="118">
        <v>98057</v>
      </c>
      <c r="J14" s="116">
        <v>84</v>
      </c>
      <c r="K14" s="118">
        <v>-1775</v>
      </c>
      <c r="L14" s="116">
        <v>1853</v>
      </c>
      <c r="M14" s="118">
        <v>6333378</v>
      </c>
      <c r="N14" s="119" t="s">
        <v>68</v>
      </c>
    </row>
    <row r="15" spans="1:14" ht="15.75" customHeight="1">
      <c r="A15" s="115" t="s">
        <v>69</v>
      </c>
      <c r="B15" s="116">
        <f>_xlfn.COMPOUNDVALUE(177)</f>
        <v>819</v>
      </c>
      <c r="C15" s="117">
        <v>2262116</v>
      </c>
      <c r="D15" s="116">
        <f>_xlfn.COMPOUNDVALUE(178)</f>
        <v>377</v>
      </c>
      <c r="E15" s="117">
        <v>129498</v>
      </c>
      <c r="F15" s="116">
        <f>_xlfn.COMPOUNDVALUE(179)</f>
        <v>1196</v>
      </c>
      <c r="G15" s="117">
        <v>2391614</v>
      </c>
      <c r="H15" s="116">
        <f>_xlfn.COMPOUNDVALUE(180)</f>
        <v>34</v>
      </c>
      <c r="I15" s="118">
        <v>44158</v>
      </c>
      <c r="J15" s="116">
        <v>36</v>
      </c>
      <c r="K15" s="118">
        <v>3613</v>
      </c>
      <c r="L15" s="116">
        <v>1234</v>
      </c>
      <c r="M15" s="118">
        <v>2351069</v>
      </c>
      <c r="N15" s="119" t="s">
        <v>70</v>
      </c>
    </row>
    <row r="16" spans="1:14" ht="15.75" customHeight="1">
      <c r="A16" s="115" t="s">
        <v>71</v>
      </c>
      <c r="B16" s="116">
        <f>_xlfn.COMPOUNDVALUE(181)</f>
        <v>679</v>
      </c>
      <c r="C16" s="117">
        <v>1551811</v>
      </c>
      <c r="D16" s="116">
        <f>_xlfn.COMPOUNDVALUE(182)</f>
        <v>305</v>
      </c>
      <c r="E16" s="117">
        <v>103985</v>
      </c>
      <c r="F16" s="116">
        <f>_xlfn.COMPOUNDVALUE(183)</f>
        <v>984</v>
      </c>
      <c r="G16" s="117">
        <v>1655796</v>
      </c>
      <c r="H16" s="116">
        <f>_xlfn.COMPOUNDVALUE(184)</f>
        <v>30</v>
      </c>
      <c r="I16" s="118">
        <v>77506</v>
      </c>
      <c r="J16" s="116">
        <v>55</v>
      </c>
      <c r="K16" s="118">
        <v>6954</v>
      </c>
      <c r="L16" s="116">
        <v>1040</v>
      </c>
      <c r="M16" s="118">
        <v>1585243</v>
      </c>
      <c r="N16" s="119" t="s">
        <v>72</v>
      </c>
    </row>
    <row r="17" spans="1:14" ht="15.75" customHeight="1">
      <c r="A17" s="148" t="s">
        <v>136</v>
      </c>
      <c r="B17" s="149">
        <v>15715</v>
      </c>
      <c r="C17" s="150">
        <v>56193471</v>
      </c>
      <c r="D17" s="149">
        <v>7458</v>
      </c>
      <c r="E17" s="150">
        <v>2650560</v>
      </c>
      <c r="F17" s="149">
        <v>23173</v>
      </c>
      <c r="G17" s="150">
        <v>58844031</v>
      </c>
      <c r="H17" s="149">
        <v>716</v>
      </c>
      <c r="I17" s="151">
        <v>1903667</v>
      </c>
      <c r="J17" s="149">
        <v>1129</v>
      </c>
      <c r="K17" s="151">
        <v>21583</v>
      </c>
      <c r="L17" s="149">
        <v>24043</v>
      </c>
      <c r="M17" s="151">
        <v>56961947</v>
      </c>
      <c r="N17" s="152" t="s">
        <v>74</v>
      </c>
    </row>
    <row r="18" spans="1:14" ht="15.75" customHeight="1">
      <c r="A18" s="153"/>
      <c r="B18" s="154"/>
      <c r="C18" s="155"/>
      <c r="D18" s="154"/>
      <c r="E18" s="155"/>
      <c r="F18" s="156"/>
      <c r="G18" s="155"/>
      <c r="H18" s="156"/>
      <c r="I18" s="155"/>
      <c r="J18" s="156"/>
      <c r="K18" s="155"/>
      <c r="L18" s="156"/>
      <c r="M18" s="155"/>
      <c r="N18" s="157"/>
    </row>
    <row r="19" spans="1:14" ht="15.75" customHeight="1">
      <c r="A19" s="109" t="s">
        <v>75</v>
      </c>
      <c r="B19" s="110">
        <f>_xlfn.COMPOUNDVALUE(185)</f>
        <v>4805</v>
      </c>
      <c r="C19" s="111">
        <v>20316719</v>
      </c>
      <c r="D19" s="110">
        <f>_xlfn.COMPOUNDVALUE(186)</f>
        <v>2355</v>
      </c>
      <c r="E19" s="111">
        <v>865934</v>
      </c>
      <c r="F19" s="110">
        <f>_xlfn.COMPOUNDVALUE(187)</f>
        <v>7160</v>
      </c>
      <c r="G19" s="111">
        <v>21182653</v>
      </c>
      <c r="H19" s="110">
        <f>_xlfn.COMPOUNDVALUE(188)</f>
        <v>222</v>
      </c>
      <c r="I19" s="112">
        <v>534913</v>
      </c>
      <c r="J19" s="110">
        <v>418</v>
      </c>
      <c r="K19" s="112">
        <v>72027</v>
      </c>
      <c r="L19" s="110">
        <v>7431</v>
      </c>
      <c r="M19" s="112">
        <v>20719766</v>
      </c>
      <c r="N19" s="113" t="s">
        <v>75</v>
      </c>
    </row>
    <row r="20" spans="1:14" ht="15.75" customHeight="1">
      <c r="A20" s="109" t="s">
        <v>76</v>
      </c>
      <c r="B20" s="110">
        <f>_xlfn.COMPOUNDVALUE(189)</f>
        <v>1629</v>
      </c>
      <c r="C20" s="111">
        <v>6286771</v>
      </c>
      <c r="D20" s="110">
        <f>_xlfn.COMPOUNDVALUE(190)</f>
        <v>885</v>
      </c>
      <c r="E20" s="111">
        <v>297333</v>
      </c>
      <c r="F20" s="110">
        <f>_xlfn.COMPOUNDVALUE(191)</f>
        <v>2514</v>
      </c>
      <c r="G20" s="111">
        <v>6584104</v>
      </c>
      <c r="H20" s="110">
        <f>_xlfn.COMPOUNDVALUE(192)</f>
        <v>92</v>
      </c>
      <c r="I20" s="112">
        <v>176335</v>
      </c>
      <c r="J20" s="110">
        <v>177</v>
      </c>
      <c r="K20" s="112">
        <v>16150</v>
      </c>
      <c r="L20" s="110">
        <v>2613</v>
      </c>
      <c r="M20" s="112">
        <v>6423919</v>
      </c>
      <c r="N20" s="113" t="s">
        <v>76</v>
      </c>
    </row>
    <row r="21" spans="1:14" ht="15.75" customHeight="1">
      <c r="A21" s="115" t="s">
        <v>77</v>
      </c>
      <c r="B21" s="116">
        <f>_xlfn.COMPOUNDVALUE(193)</f>
        <v>759</v>
      </c>
      <c r="C21" s="117">
        <v>3623161</v>
      </c>
      <c r="D21" s="116">
        <f>_xlfn.COMPOUNDVALUE(194)</f>
        <v>333</v>
      </c>
      <c r="E21" s="117">
        <v>119366</v>
      </c>
      <c r="F21" s="116">
        <f>_xlfn.COMPOUNDVALUE(195)</f>
        <v>1092</v>
      </c>
      <c r="G21" s="117">
        <v>3742526</v>
      </c>
      <c r="H21" s="116">
        <f>_xlfn.COMPOUNDVALUE(196)</f>
        <v>25</v>
      </c>
      <c r="I21" s="118">
        <v>73689</v>
      </c>
      <c r="J21" s="116">
        <v>59</v>
      </c>
      <c r="K21" s="118">
        <v>31183</v>
      </c>
      <c r="L21" s="116">
        <v>1123</v>
      </c>
      <c r="M21" s="118">
        <v>3700020</v>
      </c>
      <c r="N21" s="119" t="s">
        <v>78</v>
      </c>
    </row>
    <row r="22" spans="1:14" ht="15.75" customHeight="1">
      <c r="A22" s="115" t="s">
        <v>79</v>
      </c>
      <c r="B22" s="116">
        <f>_xlfn.COMPOUNDVALUE(197)</f>
        <v>943</v>
      </c>
      <c r="C22" s="117">
        <v>2245179</v>
      </c>
      <c r="D22" s="116">
        <f>_xlfn.COMPOUNDVALUE(198)</f>
        <v>439</v>
      </c>
      <c r="E22" s="117">
        <v>149409</v>
      </c>
      <c r="F22" s="116">
        <f>_xlfn.COMPOUNDVALUE(199)</f>
        <v>1382</v>
      </c>
      <c r="G22" s="117">
        <v>2394588</v>
      </c>
      <c r="H22" s="116">
        <f>_xlfn.COMPOUNDVALUE(200)</f>
        <v>56</v>
      </c>
      <c r="I22" s="118">
        <v>109656</v>
      </c>
      <c r="J22" s="116">
        <v>64</v>
      </c>
      <c r="K22" s="118">
        <v>7949</v>
      </c>
      <c r="L22" s="116">
        <v>1446</v>
      </c>
      <c r="M22" s="118">
        <v>2292881</v>
      </c>
      <c r="N22" s="119" t="s">
        <v>80</v>
      </c>
    </row>
    <row r="23" spans="1:14" ht="15.75" customHeight="1">
      <c r="A23" s="115" t="s">
        <v>81</v>
      </c>
      <c r="B23" s="116">
        <f>_xlfn.COMPOUNDVALUE(201)</f>
        <v>790</v>
      </c>
      <c r="C23" s="117">
        <v>2303996</v>
      </c>
      <c r="D23" s="116">
        <f>_xlfn.COMPOUNDVALUE(202)</f>
        <v>311</v>
      </c>
      <c r="E23" s="117">
        <v>106750</v>
      </c>
      <c r="F23" s="116">
        <f>_xlfn.COMPOUNDVALUE(203)</f>
        <v>1101</v>
      </c>
      <c r="G23" s="117">
        <v>2410746</v>
      </c>
      <c r="H23" s="116">
        <f>_xlfn.COMPOUNDVALUE(204)</f>
        <v>52</v>
      </c>
      <c r="I23" s="118">
        <v>271715</v>
      </c>
      <c r="J23" s="116">
        <v>59</v>
      </c>
      <c r="K23" s="118">
        <v>2870</v>
      </c>
      <c r="L23" s="116">
        <v>1155</v>
      </c>
      <c r="M23" s="118">
        <v>2141901</v>
      </c>
      <c r="N23" s="119" t="s">
        <v>82</v>
      </c>
    </row>
    <row r="24" spans="1:14" ht="15.75" customHeight="1">
      <c r="A24" s="115" t="s">
        <v>83</v>
      </c>
      <c r="B24" s="116">
        <f>_xlfn.COMPOUNDVALUE(205)</f>
        <v>547</v>
      </c>
      <c r="C24" s="117">
        <v>2736423</v>
      </c>
      <c r="D24" s="116">
        <f>_xlfn.COMPOUNDVALUE(206)</f>
        <v>288</v>
      </c>
      <c r="E24" s="117">
        <v>97688</v>
      </c>
      <c r="F24" s="116">
        <f>_xlfn.COMPOUNDVALUE(207)</f>
        <v>835</v>
      </c>
      <c r="G24" s="117">
        <v>2834111</v>
      </c>
      <c r="H24" s="116">
        <f>_xlfn.COMPOUNDVALUE(208)</f>
        <v>29</v>
      </c>
      <c r="I24" s="118">
        <v>1247766</v>
      </c>
      <c r="J24" s="116">
        <v>35</v>
      </c>
      <c r="K24" s="118">
        <v>2500</v>
      </c>
      <c r="L24" s="116">
        <v>865</v>
      </c>
      <c r="M24" s="118">
        <v>1588845</v>
      </c>
      <c r="N24" s="119" t="s">
        <v>84</v>
      </c>
    </row>
    <row r="25" spans="1:14" ht="15.75" customHeight="1">
      <c r="A25" s="115" t="s">
        <v>85</v>
      </c>
      <c r="B25" s="116">
        <f>_xlfn.COMPOUNDVALUE(209)</f>
        <v>273</v>
      </c>
      <c r="C25" s="117">
        <v>470492</v>
      </c>
      <c r="D25" s="116">
        <f>_xlfn.COMPOUNDVALUE(210)</f>
        <v>136</v>
      </c>
      <c r="E25" s="117">
        <v>43807</v>
      </c>
      <c r="F25" s="116">
        <f>_xlfn.COMPOUNDVALUE(211)</f>
        <v>409</v>
      </c>
      <c r="G25" s="117">
        <v>514299</v>
      </c>
      <c r="H25" s="116">
        <f>_xlfn.COMPOUNDVALUE(212)</f>
        <v>11</v>
      </c>
      <c r="I25" s="118">
        <v>3364</v>
      </c>
      <c r="J25" s="116">
        <v>15</v>
      </c>
      <c r="K25" s="118">
        <v>1591</v>
      </c>
      <c r="L25" s="116">
        <v>425</v>
      </c>
      <c r="M25" s="118">
        <v>512526</v>
      </c>
      <c r="N25" s="119" t="s">
        <v>86</v>
      </c>
    </row>
    <row r="26" spans="1:14" ht="15.75" customHeight="1">
      <c r="A26" s="115" t="s">
        <v>87</v>
      </c>
      <c r="B26" s="116">
        <f>_xlfn.COMPOUNDVALUE(213)</f>
        <v>705</v>
      </c>
      <c r="C26" s="117">
        <v>3669638</v>
      </c>
      <c r="D26" s="116">
        <f>_xlfn.COMPOUNDVALUE(214)</f>
        <v>327</v>
      </c>
      <c r="E26" s="117">
        <v>113918</v>
      </c>
      <c r="F26" s="116">
        <f>_xlfn.COMPOUNDVALUE(215)</f>
        <v>1032</v>
      </c>
      <c r="G26" s="117">
        <v>3783555</v>
      </c>
      <c r="H26" s="116">
        <f>_xlfn.COMPOUNDVALUE(216)</f>
        <v>54</v>
      </c>
      <c r="I26" s="118">
        <v>65749</v>
      </c>
      <c r="J26" s="116">
        <v>44</v>
      </c>
      <c r="K26" s="118">
        <v>3289</v>
      </c>
      <c r="L26" s="116">
        <v>1087</v>
      </c>
      <c r="M26" s="118">
        <v>3721095</v>
      </c>
      <c r="N26" s="119" t="s">
        <v>88</v>
      </c>
    </row>
    <row r="27" spans="1:14" ht="15.75" customHeight="1">
      <c r="A27" s="115" t="s">
        <v>89</v>
      </c>
      <c r="B27" s="116">
        <f>_xlfn.COMPOUNDVALUE(217)</f>
        <v>266</v>
      </c>
      <c r="C27" s="117">
        <v>481545</v>
      </c>
      <c r="D27" s="116">
        <f>_xlfn.COMPOUNDVALUE(218)</f>
        <v>160</v>
      </c>
      <c r="E27" s="117">
        <v>52933</v>
      </c>
      <c r="F27" s="116">
        <f>_xlfn.COMPOUNDVALUE(219)</f>
        <v>426</v>
      </c>
      <c r="G27" s="117">
        <v>534478</v>
      </c>
      <c r="H27" s="116">
        <f>_xlfn.COMPOUNDVALUE(220)</f>
        <v>17</v>
      </c>
      <c r="I27" s="118">
        <v>23402</v>
      </c>
      <c r="J27" s="116">
        <v>17</v>
      </c>
      <c r="K27" s="118">
        <v>-6627</v>
      </c>
      <c r="L27" s="116">
        <v>446</v>
      </c>
      <c r="M27" s="118">
        <v>504448</v>
      </c>
      <c r="N27" s="119" t="s">
        <v>90</v>
      </c>
    </row>
    <row r="28" spans="1:14" ht="15.75" customHeight="1">
      <c r="A28" s="148" t="s">
        <v>137</v>
      </c>
      <c r="B28" s="149">
        <v>10717</v>
      </c>
      <c r="C28" s="150">
        <v>42133923</v>
      </c>
      <c r="D28" s="149">
        <v>5234</v>
      </c>
      <c r="E28" s="150">
        <v>1847136</v>
      </c>
      <c r="F28" s="149">
        <v>15951</v>
      </c>
      <c r="G28" s="150">
        <v>43981060</v>
      </c>
      <c r="H28" s="149">
        <v>558</v>
      </c>
      <c r="I28" s="151">
        <v>2506589</v>
      </c>
      <c r="J28" s="149">
        <v>888</v>
      </c>
      <c r="K28" s="151">
        <v>130931</v>
      </c>
      <c r="L28" s="149">
        <v>16591</v>
      </c>
      <c r="M28" s="151">
        <v>41605401</v>
      </c>
      <c r="N28" s="152" t="s">
        <v>92</v>
      </c>
    </row>
    <row r="29" spans="1:14" ht="15.75" customHeight="1">
      <c r="A29" s="153"/>
      <c r="B29" s="154"/>
      <c r="C29" s="155"/>
      <c r="D29" s="154"/>
      <c r="E29" s="155"/>
      <c r="F29" s="156"/>
      <c r="G29" s="155"/>
      <c r="H29" s="156"/>
      <c r="I29" s="155"/>
      <c r="J29" s="156"/>
      <c r="K29" s="155"/>
      <c r="L29" s="156"/>
      <c r="M29" s="155"/>
      <c r="N29" s="157"/>
    </row>
    <row r="30" spans="1:14" ht="15.75" customHeight="1">
      <c r="A30" s="109" t="s">
        <v>93</v>
      </c>
      <c r="B30" s="110">
        <f>_xlfn.COMPOUNDVALUE(221)</f>
        <v>3729</v>
      </c>
      <c r="C30" s="111">
        <v>14047637</v>
      </c>
      <c r="D30" s="110">
        <f>_xlfn.COMPOUNDVALUE(222)</f>
        <v>1742</v>
      </c>
      <c r="E30" s="111">
        <v>640759</v>
      </c>
      <c r="F30" s="110">
        <f>_xlfn.COMPOUNDVALUE(223)</f>
        <v>5471</v>
      </c>
      <c r="G30" s="111">
        <v>14688396</v>
      </c>
      <c r="H30" s="110">
        <f>_xlfn.COMPOUNDVALUE(224)</f>
        <v>146</v>
      </c>
      <c r="I30" s="112">
        <v>443388</v>
      </c>
      <c r="J30" s="110">
        <v>327</v>
      </c>
      <c r="K30" s="112">
        <v>-21794</v>
      </c>
      <c r="L30" s="110">
        <v>5669</v>
      </c>
      <c r="M30" s="112">
        <v>14223214</v>
      </c>
      <c r="N30" s="113" t="s">
        <v>94</v>
      </c>
    </row>
    <row r="31" spans="1:14" ht="15.75" customHeight="1">
      <c r="A31" s="115" t="s">
        <v>95</v>
      </c>
      <c r="B31" s="116">
        <f>_xlfn.COMPOUNDVALUE(225)</f>
        <v>1605</v>
      </c>
      <c r="C31" s="117">
        <v>6629869</v>
      </c>
      <c r="D31" s="116">
        <f>_xlfn.COMPOUNDVALUE(226)</f>
        <v>646</v>
      </c>
      <c r="E31" s="117">
        <v>240033</v>
      </c>
      <c r="F31" s="116">
        <f>_xlfn.COMPOUNDVALUE(227)</f>
        <v>2251</v>
      </c>
      <c r="G31" s="117">
        <v>6869901</v>
      </c>
      <c r="H31" s="116">
        <f>_xlfn.COMPOUNDVALUE(228)</f>
        <v>66</v>
      </c>
      <c r="I31" s="118">
        <v>324053</v>
      </c>
      <c r="J31" s="116">
        <v>101</v>
      </c>
      <c r="K31" s="118">
        <v>20998</v>
      </c>
      <c r="L31" s="116">
        <v>2331</v>
      </c>
      <c r="M31" s="118">
        <v>6566845</v>
      </c>
      <c r="N31" s="119" t="s">
        <v>96</v>
      </c>
    </row>
    <row r="32" spans="1:14" ht="15.75" customHeight="1">
      <c r="A32" s="115" t="s">
        <v>97</v>
      </c>
      <c r="B32" s="116">
        <f>_xlfn.COMPOUNDVALUE(229)</f>
        <v>1994</v>
      </c>
      <c r="C32" s="117">
        <v>6065587</v>
      </c>
      <c r="D32" s="116">
        <f>_xlfn.COMPOUNDVALUE(230)</f>
        <v>894</v>
      </c>
      <c r="E32" s="117">
        <v>337507</v>
      </c>
      <c r="F32" s="116">
        <f>_xlfn.COMPOUNDVALUE(231)</f>
        <v>2888</v>
      </c>
      <c r="G32" s="117">
        <v>6403093</v>
      </c>
      <c r="H32" s="116">
        <f>_xlfn.COMPOUNDVALUE(232)</f>
        <v>97</v>
      </c>
      <c r="I32" s="118">
        <v>136032</v>
      </c>
      <c r="J32" s="116">
        <v>79</v>
      </c>
      <c r="K32" s="118">
        <v>12369</v>
      </c>
      <c r="L32" s="116">
        <v>3000</v>
      </c>
      <c r="M32" s="118">
        <v>6279431</v>
      </c>
      <c r="N32" s="119" t="s">
        <v>98</v>
      </c>
    </row>
    <row r="33" spans="1:14" ht="15.75" customHeight="1">
      <c r="A33" s="115" t="s">
        <v>99</v>
      </c>
      <c r="B33" s="116">
        <f>_xlfn.COMPOUNDVALUE(233)</f>
        <v>612</v>
      </c>
      <c r="C33" s="117">
        <v>1588791</v>
      </c>
      <c r="D33" s="116">
        <f>_xlfn.COMPOUNDVALUE(234)</f>
        <v>340</v>
      </c>
      <c r="E33" s="117">
        <v>119734</v>
      </c>
      <c r="F33" s="116">
        <f>_xlfn.COMPOUNDVALUE(235)</f>
        <v>952</v>
      </c>
      <c r="G33" s="117">
        <v>1708525</v>
      </c>
      <c r="H33" s="116">
        <f>_xlfn.COMPOUNDVALUE(236)</f>
        <v>33</v>
      </c>
      <c r="I33" s="118">
        <v>61095</v>
      </c>
      <c r="J33" s="116">
        <v>42</v>
      </c>
      <c r="K33" s="118">
        <v>6478</v>
      </c>
      <c r="L33" s="116">
        <v>998</v>
      </c>
      <c r="M33" s="118">
        <v>1653908</v>
      </c>
      <c r="N33" s="119" t="s">
        <v>100</v>
      </c>
    </row>
    <row r="34" spans="1:14" ht="15.75" customHeight="1">
      <c r="A34" s="115" t="s">
        <v>101</v>
      </c>
      <c r="B34" s="116">
        <f>_xlfn.COMPOUNDVALUE(237)</f>
        <v>557</v>
      </c>
      <c r="C34" s="117">
        <v>1417259</v>
      </c>
      <c r="D34" s="116">
        <f>_xlfn.COMPOUNDVALUE(238)</f>
        <v>274</v>
      </c>
      <c r="E34" s="117">
        <v>96644</v>
      </c>
      <c r="F34" s="116">
        <f>_xlfn.COMPOUNDVALUE(239)</f>
        <v>831</v>
      </c>
      <c r="G34" s="117">
        <v>1513903</v>
      </c>
      <c r="H34" s="116">
        <f>_xlfn.COMPOUNDVALUE(240)</f>
        <v>45</v>
      </c>
      <c r="I34" s="118">
        <v>76223</v>
      </c>
      <c r="J34" s="116">
        <v>34</v>
      </c>
      <c r="K34" s="118">
        <v>3149</v>
      </c>
      <c r="L34" s="116">
        <v>882</v>
      </c>
      <c r="M34" s="118">
        <v>1440829</v>
      </c>
      <c r="N34" s="119" t="s">
        <v>102</v>
      </c>
    </row>
    <row r="35" spans="1:14" ht="15.75" customHeight="1">
      <c r="A35" s="115" t="s">
        <v>103</v>
      </c>
      <c r="B35" s="116">
        <f>_xlfn.COMPOUNDVALUE(241)</f>
        <v>732</v>
      </c>
      <c r="C35" s="117">
        <v>2170650</v>
      </c>
      <c r="D35" s="116">
        <f>_xlfn.COMPOUNDVALUE(242)</f>
        <v>332</v>
      </c>
      <c r="E35" s="117">
        <v>109372</v>
      </c>
      <c r="F35" s="116">
        <f>_xlfn.COMPOUNDVALUE(243)</f>
        <v>1064</v>
      </c>
      <c r="G35" s="117">
        <v>2280022</v>
      </c>
      <c r="H35" s="116">
        <f>_xlfn.COMPOUNDVALUE(244)</f>
        <v>78</v>
      </c>
      <c r="I35" s="118">
        <v>385226</v>
      </c>
      <c r="J35" s="116">
        <v>70</v>
      </c>
      <c r="K35" s="118">
        <v>26812</v>
      </c>
      <c r="L35" s="116">
        <v>1152</v>
      </c>
      <c r="M35" s="118">
        <v>1921608</v>
      </c>
      <c r="N35" s="119" t="s">
        <v>104</v>
      </c>
    </row>
    <row r="36" spans="1:14" ht="15.75" customHeight="1">
      <c r="A36" s="148" t="s">
        <v>138</v>
      </c>
      <c r="B36" s="149">
        <v>9229</v>
      </c>
      <c r="C36" s="150">
        <v>31919793</v>
      </c>
      <c r="D36" s="149">
        <v>4228</v>
      </c>
      <c r="E36" s="150">
        <v>1544049</v>
      </c>
      <c r="F36" s="149">
        <v>13457</v>
      </c>
      <c r="G36" s="150">
        <v>33463842</v>
      </c>
      <c r="H36" s="149">
        <v>465</v>
      </c>
      <c r="I36" s="151">
        <v>1426018</v>
      </c>
      <c r="J36" s="149">
        <v>653</v>
      </c>
      <c r="K36" s="151">
        <v>48011</v>
      </c>
      <c r="L36" s="149">
        <v>14032</v>
      </c>
      <c r="M36" s="151">
        <v>32085835</v>
      </c>
      <c r="N36" s="152" t="s">
        <v>106</v>
      </c>
    </row>
    <row r="37" spans="1:14" ht="15.75" customHeight="1">
      <c r="A37" s="163"/>
      <c r="B37" s="154"/>
      <c r="C37" s="155"/>
      <c r="D37" s="154"/>
      <c r="E37" s="155"/>
      <c r="F37" s="156"/>
      <c r="G37" s="155"/>
      <c r="H37" s="156"/>
      <c r="I37" s="155"/>
      <c r="J37" s="156"/>
      <c r="K37" s="155"/>
      <c r="L37" s="156"/>
      <c r="M37" s="155"/>
      <c r="N37" s="157"/>
    </row>
    <row r="38" spans="1:14" ht="15.75" customHeight="1">
      <c r="A38" s="109" t="s">
        <v>139</v>
      </c>
      <c r="B38" s="110">
        <f>_xlfn.COMPOUNDVALUE(245)</f>
        <v>5947</v>
      </c>
      <c r="C38" s="111">
        <v>27844736</v>
      </c>
      <c r="D38" s="110">
        <f>_xlfn.COMPOUNDVALUE(246)</f>
        <v>2743</v>
      </c>
      <c r="E38" s="111">
        <v>974495</v>
      </c>
      <c r="F38" s="110">
        <f>_xlfn.COMPOUNDVALUE(247)</f>
        <v>8690</v>
      </c>
      <c r="G38" s="111">
        <v>28819230</v>
      </c>
      <c r="H38" s="110">
        <f>_xlfn.COMPOUNDVALUE(248)</f>
        <v>307</v>
      </c>
      <c r="I38" s="112">
        <v>765723</v>
      </c>
      <c r="J38" s="110">
        <v>520</v>
      </c>
      <c r="K38" s="112">
        <v>42701</v>
      </c>
      <c r="L38" s="110">
        <v>9057</v>
      </c>
      <c r="M38" s="112">
        <v>28096208</v>
      </c>
      <c r="N38" s="113" t="s">
        <v>108</v>
      </c>
    </row>
    <row r="39" spans="1:14" ht="15.75" customHeight="1">
      <c r="A39" s="109" t="s">
        <v>109</v>
      </c>
      <c r="B39" s="110">
        <f>_xlfn.COMPOUNDVALUE(249)</f>
        <v>923</v>
      </c>
      <c r="C39" s="111">
        <v>2478941</v>
      </c>
      <c r="D39" s="110">
        <f>_xlfn.COMPOUNDVALUE(250)</f>
        <v>460</v>
      </c>
      <c r="E39" s="111">
        <v>166946</v>
      </c>
      <c r="F39" s="110">
        <f>_xlfn.COMPOUNDVALUE(251)</f>
        <v>1383</v>
      </c>
      <c r="G39" s="111">
        <v>2645887</v>
      </c>
      <c r="H39" s="110">
        <f>_xlfn.COMPOUNDVALUE(252)</f>
        <v>46</v>
      </c>
      <c r="I39" s="112">
        <v>43473</v>
      </c>
      <c r="J39" s="110">
        <v>69</v>
      </c>
      <c r="K39" s="112">
        <v>2853</v>
      </c>
      <c r="L39" s="110">
        <v>1431</v>
      </c>
      <c r="M39" s="112">
        <v>2605267</v>
      </c>
      <c r="N39" s="113" t="s">
        <v>110</v>
      </c>
    </row>
    <row r="40" spans="1:14" ht="15.75" customHeight="1">
      <c r="A40" s="109" t="s">
        <v>111</v>
      </c>
      <c r="B40" s="110">
        <f>_xlfn.COMPOUNDVALUE(253)</f>
        <v>1263</v>
      </c>
      <c r="C40" s="111">
        <v>3396444</v>
      </c>
      <c r="D40" s="110">
        <f>_xlfn.COMPOUNDVALUE(254)</f>
        <v>566</v>
      </c>
      <c r="E40" s="111">
        <v>202376</v>
      </c>
      <c r="F40" s="110">
        <f>_xlfn.COMPOUNDVALUE(255)</f>
        <v>1829</v>
      </c>
      <c r="G40" s="111">
        <v>3598819</v>
      </c>
      <c r="H40" s="110">
        <f>_xlfn.COMPOUNDVALUE(256)</f>
        <v>98</v>
      </c>
      <c r="I40" s="112">
        <v>188446</v>
      </c>
      <c r="J40" s="110">
        <v>94</v>
      </c>
      <c r="K40" s="112">
        <v>-18828</v>
      </c>
      <c r="L40" s="110">
        <v>1931</v>
      </c>
      <c r="M40" s="112">
        <v>3391545</v>
      </c>
      <c r="N40" s="113" t="s">
        <v>112</v>
      </c>
    </row>
    <row r="41" spans="1:14" ht="15.75" customHeight="1">
      <c r="A41" s="109" t="s">
        <v>113</v>
      </c>
      <c r="B41" s="110">
        <f>_xlfn.COMPOUNDVALUE(257)</f>
        <v>1067</v>
      </c>
      <c r="C41" s="111">
        <v>1993278</v>
      </c>
      <c r="D41" s="110">
        <f>_xlfn.COMPOUNDVALUE(258)</f>
        <v>471</v>
      </c>
      <c r="E41" s="111">
        <v>168921</v>
      </c>
      <c r="F41" s="110">
        <f>_xlfn.COMPOUNDVALUE(259)</f>
        <v>1538</v>
      </c>
      <c r="G41" s="111">
        <v>2162198</v>
      </c>
      <c r="H41" s="110">
        <f>_xlfn.COMPOUNDVALUE(260)</f>
        <v>54</v>
      </c>
      <c r="I41" s="112">
        <v>174364</v>
      </c>
      <c r="J41" s="110">
        <v>85</v>
      </c>
      <c r="K41" s="112">
        <v>22679</v>
      </c>
      <c r="L41" s="110">
        <v>1606</v>
      </c>
      <c r="M41" s="112">
        <v>2010513</v>
      </c>
      <c r="N41" s="113" t="s">
        <v>114</v>
      </c>
    </row>
    <row r="42" spans="1:14" ht="15.75" customHeight="1">
      <c r="A42" s="115" t="s">
        <v>115</v>
      </c>
      <c r="B42" s="116">
        <f>_xlfn.COMPOUNDVALUE(261)</f>
        <v>688</v>
      </c>
      <c r="C42" s="117">
        <v>2456165</v>
      </c>
      <c r="D42" s="116">
        <f>_xlfn.COMPOUNDVALUE(262)</f>
        <v>290</v>
      </c>
      <c r="E42" s="117">
        <v>107651</v>
      </c>
      <c r="F42" s="116">
        <f>_xlfn.COMPOUNDVALUE(263)</f>
        <v>978</v>
      </c>
      <c r="G42" s="117">
        <v>2563817</v>
      </c>
      <c r="H42" s="116">
        <f>_xlfn.COMPOUNDVALUE(264)</f>
        <v>60</v>
      </c>
      <c r="I42" s="118">
        <v>95998</v>
      </c>
      <c r="J42" s="116">
        <v>39</v>
      </c>
      <c r="K42" s="118">
        <v>-1563</v>
      </c>
      <c r="L42" s="116">
        <v>1042</v>
      </c>
      <c r="M42" s="118">
        <v>2466256</v>
      </c>
      <c r="N42" s="119" t="s">
        <v>116</v>
      </c>
    </row>
    <row r="43" spans="1:14" ht="15.75" customHeight="1">
      <c r="A43" s="115" t="s">
        <v>117</v>
      </c>
      <c r="B43" s="116">
        <f>_xlfn.COMPOUNDVALUE(265)</f>
        <v>307</v>
      </c>
      <c r="C43" s="117">
        <v>853303</v>
      </c>
      <c r="D43" s="116">
        <f>_xlfn.COMPOUNDVALUE(266)</f>
        <v>210</v>
      </c>
      <c r="E43" s="117">
        <v>73901</v>
      </c>
      <c r="F43" s="116">
        <f>_xlfn.COMPOUNDVALUE(267)</f>
        <v>517</v>
      </c>
      <c r="G43" s="117">
        <v>927205</v>
      </c>
      <c r="H43" s="116">
        <f>_xlfn.COMPOUNDVALUE(268)</f>
        <v>20</v>
      </c>
      <c r="I43" s="118">
        <v>45011</v>
      </c>
      <c r="J43" s="116">
        <v>22</v>
      </c>
      <c r="K43" s="118">
        <v>4147</v>
      </c>
      <c r="L43" s="116">
        <v>540</v>
      </c>
      <c r="M43" s="118">
        <v>886341</v>
      </c>
      <c r="N43" s="119" t="s">
        <v>118</v>
      </c>
    </row>
    <row r="44" spans="1:14" ht="15.75" customHeight="1">
      <c r="A44" s="115" t="s">
        <v>140</v>
      </c>
      <c r="B44" s="116">
        <f>_xlfn.COMPOUNDVALUE(269)</f>
        <v>389</v>
      </c>
      <c r="C44" s="117">
        <v>821513</v>
      </c>
      <c r="D44" s="116">
        <f>_xlfn.COMPOUNDVALUE(270)</f>
        <v>167</v>
      </c>
      <c r="E44" s="117">
        <v>57927</v>
      </c>
      <c r="F44" s="116">
        <f>_xlfn.COMPOUNDVALUE(271)</f>
        <v>556</v>
      </c>
      <c r="G44" s="117">
        <v>879440</v>
      </c>
      <c r="H44" s="116">
        <f>_xlfn.COMPOUNDVALUE(272)</f>
        <v>20</v>
      </c>
      <c r="I44" s="118">
        <v>25460</v>
      </c>
      <c r="J44" s="116">
        <v>35</v>
      </c>
      <c r="K44" s="118">
        <v>9544</v>
      </c>
      <c r="L44" s="116">
        <v>580</v>
      </c>
      <c r="M44" s="118">
        <v>863524</v>
      </c>
      <c r="N44" s="119" t="s">
        <v>120</v>
      </c>
    </row>
    <row r="45" spans="1:14" ht="15.75" customHeight="1">
      <c r="A45" s="115" t="s">
        <v>121</v>
      </c>
      <c r="B45" s="116">
        <f>_xlfn.COMPOUNDVALUE(273)</f>
        <v>826</v>
      </c>
      <c r="C45" s="117">
        <v>2398474</v>
      </c>
      <c r="D45" s="116">
        <f>_xlfn.COMPOUNDVALUE(274)</f>
        <v>380</v>
      </c>
      <c r="E45" s="117">
        <v>145304</v>
      </c>
      <c r="F45" s="116">
        <f>_xlfn.COMPOUNDVALUE(275)</f>
        <v>1206</v>
      </c>
      <c r="G45" s="117">
        <v>2543778</v>
      </c>
      <c r="H45" s="116">
        <f>_xlfn.COMPOUNDVALUE(276)</f>
        <v>54</v>
      </c>
      <c r="I45" s="118">
        <v>52092</v>
      </c>
      <c r="J45" s="116">
        <v>40</v>
      </c>
      <c r="K45" s="118">
        <v>1589</v>
      </c>
      <c r="L45" s="116">
        <v>1265</v>
      </c>
      <c r="M45" s="118">
        <v>2493275</v>
      </c>
      <c r="N45" s="119" t="s">
        <v>122</v>
      </c>
    </row>
    <row r="46" spans="1:14" ht="15.75" customHeight="1">
      <c r="A46" s="115" t="s">
        <v>141</v>
      </c>
      <c r="B46" s="116">
        <f>_xlfn.COMPOUNDVALUE(277)</f>
        <v>576</v>
      </c>
      <c r="C46" s="117">
        <v>2977375</v>
      </c>
      <c r="D46" s="116">
        <f>_xlfn.COMPOUNDVALUE(278)</f>
        <v>296</v>
      </c>
      <c r="E46" s="117">
        <v>106281</v>
      </c>
      <c r="F46" s="116">
        <f>_xlfn.COMPOUNDVALUE(279)</f>
        <v>872</v>
      </c>
      <c r="G46" s="117">
        <v>3083656</v>
      </c>
      <c r="H46" s="116">
        <f>_xlfn.COMPOUNDVALUE(280)</f>
        <v>37</v>
      </c>
      <c r="I46" s="118">
        <v>135496</v>
      </c>
      <c r="J46" s="116">
        <v>45</v>
      </c>
      <c r="K46" s="118">
        <v>823</v>
      </c>
      <c r="L46" s="116">
        <v>916</v>
      </c>
      <c r="M46" s="118">
        <v>2948984</v>
      </c>
      <c r="N46" s="119" t="s">
        <v>124</v>
      </c>
    </row>
    <row r="47" spans="1:14" ht="15.75" customHeight="1">
      <c r="A47" s="115" t="s">
        <v>142</v>
      </c>
      <c r="B47" s="116">
        <f>_xlfn.COMPOUNDVALUE(281)</f>
        <v>1423</v>
      </c>
      <c r="C47" s="117">
        <v>4959289</v>
      </c>
      <c r="D47" s="116">
        <f>_xlfn.COMPOUNDVALUE(282)</f>
        <v>797</v>
      </c>
      <c r="E47" s="117">
        <v>278744</v>
      </c>
      <c r="F47" s="116">
        <f>_xlfn.COMPOUNDVALUE(283)</f>
        <v>2220</v>
      </c>
      <c r="G47" s="117">
        <v>5238032</v>
      </c>
      <c r="H47" s="116">
        <f>_xlfn.COMPOUNDVALUE(284)</f>
        <v>67</v>
      </c>
      <c r="I47" s="118">
        <v>101970</v>
      </c>
      <c r="J47" s="116">
        <v>127</v>
      </c>
      <c r="K47" s="118">
        <v>32282</v>
      </c>
      <c r="L47" s="116">
        <v>2342</v>
      </c>
      <c r="M47" s="118">
        <v>5168344</v>
      </c>
      <c r="N47" s="119" t="s">
        <v>126</v>
      </c>
    </row>
    <row r="48" spans="1:14" ht="15.75" customHeight="1">
      <c r="A48" s="115" t="s">
        <v>127</v>
      </c>
      <c r="B48" s="116">
        <f>_xlfn.COMPOUNDVALUE(285)</f>
        <v>693</v>
      </c>
      <c r="C48" s="117">
        <v>2232797</v>
      </c>
      <c r="D48" s="116">
        <f>_xlfn.COMPOUNDVALUE(286)</f>
        <v>260</v>
      </c>
      <c r="E48" s="117">
        <v>102123</v>
      </c>
      <c r="F48" s="116">
        <f>_xlfn.COMPOUNDVALUE(287)</f>
        <v>953</v>
      </c>
      <c r="G48" s="117">
        <v>2334920</v>
      </c>
      <c r="H48" s="116">
        <f>_xlfn.COMPOUNDVALUE(288)</f>
        <v>50</v>
      </c>
      <c r="I48" s="118">
        <v>132832</v>
      </c>
      <c r="J48" s="116">
        <v>39</v>
      </c>
      <c r="K48" s="118">
        <v>4326</v>
      </c>
      <c r="L48" s="116">
        <v>1005</v>
      </c>
      <c r="M48" s="118">
        <v>2206413</v>
      </c>
      <c r="N48" s="119" t="s">
        <v>128</v>
      </c>
    </row>
    <row r="49" spans="1:14" ht="15.75" customHeight="1">
      <c r="A49" s="148" t="s">
        <v>143</v>
      </c>
      <c r="B49" s="149">
        <v>14102</v>
      </c>
      <c r="C49" s="150">
        <v>52412314</v>
      </c>
      <c r="D49" s="149">
        <v>6640</v>
      </c>
      <c r="E49" s="150">
        <v>2384667</v>
      </c>
      <c r="F49" s="149">
        <v>20742</v>
      </c>
      <c r="G49" s="150">
        <v>54796981</v>
      </c>
      <c r="H49" s="149">
        <v>813</v>
      </c>
      <c r="I49" s="151">
        <v>1760865</v>
      </c>
      <c r="J49" s="149">
        <v>1115</v>
      </c>
      <c r="K49" s="151">
        <v>100554</v>
      </c>
      <c r="L49" s="149">
        <v>21715</v>
      </c>
      <c r="M49" s="151">
        <v>53136670</v>
      </c>
      <c r="N49" s="152" t="s">
        <v>130</v>
      </c>
    </row>
    <row r="50" spans="1:14" ht="15.75" customHeight="1" thickBot="1">
      <c r="A50" s="158"/>
      <c r="B50" s="159"/>
      <c r="C50" s="160"/>
      <c r="D50" s="159"/>
      <c r="E50" s="160"/>
      <c r="F50" s="161"/>
      <c r="G50" s="160"/>
      <c r="H50" s="161"/>
      <c r="I50" s="160"/>
      <c r="J50" s="161"/>
      <c r="K50" s="160"/>
      <c r="L50" s="161"/>
      <c r="M50" s="160"/>
      <c r="N50" s="162"/>
    </row>
    <row r="51" spans="1:14" ht="15.75" customHeight="1" thickBot="1" thickTop="1">
      <c r="A51" s="121" t="s">
        <v>144</v>
      </c>
      <c r="B51" s="122">
        <v>49763</v>
      </c>
      <c r="C51" s="123">
        <v>182659501</v>
      </c>
      <c r="D51" s="122">
        <v>23560</v>
      </c>
      <c r="E51" s="123">
        <v>8426413</v>
      </c>
      <c r="F51" s="122">
        <v>73323</v>
      </c>
      <c r="G51" s="123">
        <v>191085914</v>
      </c>
      <c r="H51" s="122">
        <v>2552</v>
      </c>
      <c r="I51" s="124">
        <v>7597139</v>
      </c>
      <c r="J51" s="122">
        <v>3785</v>
      </c>
      <c r="K51" s="124">
        <v>301079</v>
      </c>
      <c r="L51" s="122">
        <v>76381</v>
      </c>
      <c r="M51" s="124">
        <v>183789854</v>
      </c>
      <c r="N51" s="125" t="s">
        <v>132</v>
      </c>
    </row>
    <row r="52" spans="1:14" s="135" customFormat="1" ht="3.75" customHeight="1">
      <c r="A52" s="126"/>
      <c r="B52" s="127"/>
      <c r="C52" s="127"/>
      <c r="D52" s="127"/>
      <c r="E52" s="127"/>
      <c r="F52" s="127"/>
      <c r="G52" s="127"/>
      <c r="H52" s="127"/>
      <c r="I52" s="127"/>
      <c r="J52" s="127"/>
      <c r="K52" s="127"/>
      <c r="L52" s="127"/>
      <c r="M52" s="127"/>
      <c r="N52" s="126"/>
    </row>
    <row r="53" spans="1:14" ht="13.5">
      <c r="A53" s="221" t="s">
        <v>157</v>
      </c>
      <c r="B53" s="221"/>
      <c r="C53" s="221"/>
      <c r="D53" s="221"/>
      <c r="E53" s="221"/>
      <c r="F53" s="221"/>
      <c r="G53" s="221"/>
      <c r="H53" s="221"/>
      <c r="I53" s="221"/>
      <c r="J53" s="136"/>
      <c r="K53" s="133"/>
      <c r="L53" s="95"/>
      <c r="M53" s="95"/>
      <c r="N53" s="95"/>
    </row>
  </sheetData>
  <sheetProtection/>
  <mergeCells count="11">
    <mergeCell ref="L3:M4"/>
    <mergeCell ref="N3:N5"/>
    <mergeCell ref="B4:C4"/>
    <mergeCell ref="D4:E4"/>
    <mergeCell ref="F4:G4"/>
    <mergeCell ref="A53:I53"/>
    <mergeCell ref="A2:I2"/>
    <mergeCell ref="A3:A5"/>
    <mergeCell ref="B3:G3"/>
    <mergeCell ref="H3:I4"/>
    <mergeCell ref="J3:K4"/>
  </mergeCells>
  <printOptions/>
  <pageMargins left="0.7874015748031497" right="0.6299212598425197" top="0.984251968503937" bottom="0.984251968503937" header="0.5118110236220472" footer="0.5118110236220472"/>
  <pageSetup horizontalDpi="600" verticalDpi="600" orientation="landscape" paperSize="9" scale="82" r:id="rId1"/>
  <headerFooter alignWithMargins="0">
    <oddFooter>&amp;R熊本国税局
消費税
（H24）</oddFooter>
  </headerFooter>
  <rowBreaks count="1" manualBreakCount="1">
    <brk id="37" max="255" man="1"/>
  </rowBreaks>
</worksheet>
</file>

<file path=xl/worksheets/sheet6.xml><?xml version="1.0" encoding="utf-8"?>
<worksheet xmlns="http://schemas.openxmlformats.org/spreadsheetml/2006/main" xmlns:r="http://schemas.openxmlformats.org/officeDocument/2006/relationships">
  <dimension ref="A1:R53"/>
  <sheetViews>
    <sheetView view="pageBreakPreview" zoomScaleSheetLayoutView="100" workbookViewId="0" topLeftCell="G25">
      <selection activeCell="C11" sqref="C11"/>
    </sheetView>
  </sheetViews>
  <sheetFormatPr defaultColWidth="9.00390625" defaultRowHeight="13.5"/>
  <cols>
    <col min="1" max="1" width="10.375" style="96" customWidth="1"/>
    <col min="2" max="2" width="10.625" style="96" customWidth="1"/>
    <col min="3" max="3" width="12.625" style="96" customWidth="1"/>
    <col min="4" max="4" width="10.625" style="96" customWidth="1"/>
    <col min="5" max="5" width="12.625" style="96" customWidth="1"/>
    <col min="6" max="6" width="10.625" style="96" customWidth="1"/>
    <col min="7" max="7" width="12.625" style="96" customWidth="1"/>
    <col min="8" max="8" width="10.625" style="96" customWidth="1"/>
    <col min="9" max="9" width="12.625" style="96" customWidth="1"/>
    <col min="10" max="10" width="10.625" style="96" customWidth="1"/>
    <col min="11" max="11" width="12.625" style="96" customWidth="1"/>
    <col min="12" max="12" width="10.625" style="96" customWidth="1"/>
    <col min="13" max="13" width="12.625" style="96" customWidth="1"/>
    <col min="14" max="17" width="10.625" style="96" customWidth="1"/>
    <col min="18" max="18" width="10.375" style="96" customWidth="1"/>
    <col min="19" max="16384" width="9.00390625" style="96" customWidth="1"/>
  </cols>
  <sheetData>
    <row r="1" spans="1:16" ht="13.5">
      <c r="A1" s="94" t="s">
        <v>133</v>
      </c>
      <c r="B1" s="94"/>
      <c r="C1" s="94"/>
      <c r="D1" s="94"/>
      <c r="E1" s="94"/>
      <c r="F1" s="94"/>
      <c r="G1" s="94"/>
      <c r="H1" s="94"/>
      <c r="I1" s="94"/>
      <c r="J1" s="94"/>
      <c r="K1" s="94"/>
      <c r="L1" s="95"/>
      <c r="M1" s="95"/>
      <c r="N1" s="95"/>
      <c r="O1" s="95"/>
      <c r="P1" s="95"/>
    </row>
    <row r="2" spans="1:16" ht="14.25" thickBot="1">
      <c r="A2" s="222" t="s">
        <v>145</v>
      </c>
      <c r="B2" s="222"/>
      <c r="C2" s="222"/>
      <c r="D2" s="222"/>
      <c r="E2" s="222"/>
      <c r="F2" s="222"/>
      <c r="G2" s="222"/>
      <c r="H2" s="222"/>
      <c r="I2" s="222"/>
      <c r="J2" s="133"/>
      <c r="K2" s="133"/>
      <c r="L2" s="95"/>
      <c r="M2" s="95"/>
      <c r="N2" s="95"/>
      <c r="O2" s="95"/>
      <c r="P2" s="95"/>
    </row>
    <row r="3" spans="1:18" ht="19.5" customHeight="1">
      <c r="A3" s="213" t="s">
        <v>42</v>
      </c>
      <c r="B3" s="216" t="s">
        <v>43</v>
      </c>
      <c r="C3" s="216"/>
      <c r="D3" s="216"/>
      <c r="E3" s="216"/>
      <c r="F3" s="216"/>
      <c r="G3" s="216"/>
      <c r="H3" s="216" t="s">
        <v>12</v>
      </c>
      <c r="I3" s="216"/>
      <c r="J3" s="223" t="s">
        <v>44</v>
      </c>
      <c r="K3" s="216"/>
      <c r="L3" s="216" t="s">
        <v>45</v>
      </c>
      <c r="M3" s="216"/>
      <c r="N3" s="225" t="s">
        <v>146</v>
      </c>
      <c r="O3" s="226"/>
      <c r="P3" s="226"/>
      <c r="Q3" s="226"/>
      <c r="R3" s="205" t="s">
        <v>135</v>
      </c>
    </row>
    <row r="4" spans="1:18" ht="17.25" customHeight="1">
      <c r="A4" s="214"/>
      <c r="B4" s="208" t="s">
        <v>17</v>
      </c>
      <c r="C4" s="208"/>
      <c r="D4" s="208" t="s">
        <v>47</v>
      </c>
      <c r="E4" s="208"/>
      <c r="F4" s="208" t="s">
        <v>48</v>
      </c>
      <c r="G4" s="208"/>
      <c r="H4" s="208"/>
      <c r="I4" s="208"/>
      <c r="J4" s="208"/>
      <c r="K4" s="208"/>
      <c r="L4" s="208"/>
      <c r="M4" s="208"/>
      <c r="N4" s="227" t="s">
        <v>147</v>
      </c>
      <c r="O4" s="229" t="s">
        <v>148</v>
      </c>
      <c r="P4" s="231" t="s">
        <v>149</v>
      </c>
      <c r="Q4" s="219" t="s">
        <v>150</v>
      </c>
      <c r="R4" s="206"/>
    </row>
    <row r="5" spans="1:18" ht="28.5" customHeight="1">
      <c r="A5" s="215"/>
      <c r="B5" s="97" t="s">
        <v>49</v>
      </c>
      <c r="C5" s="98" t="s">
        <v>50</v>
      </c>
      <c r="D5" s="97" t="s">
        <v>49</v>
      </c>
      <c r="E5" s="98" t="s">
        <v>50</v>
      </c>
      <c r="F5" s="97" t="s">
        <v>49</v>
      </c>
      <c r="G5" s="98" t="s">
        <v>51</v>
      </c>
      <c r="H5" s="97" t="s">
        <v>49</v>
      </c>
      <c r="I5" s="98" t="s">
        <v>52</v>
      </c>
      <c r="J5" s="97" t="s">
        <v>49</v>
      </c>
      <c r="K5" s="98" t="s">
        <v>53</v>
      </c>
      <c r="L5" s="97" t="s">
        <v>49</v>
      </c>
      <c r="M5" s="137" t="s">
        <v>151</v>
      </c>
      <c r="N5" s="228"/>
      <c r="O5" s="230"/>
      <c r="P5" s="232"/>
      <c r="Q5" s="233"/>
      <c r="R5" s="207"/>
    </row>
    <row r="6" spans="1:18" s="134" customFormat="1" ht="10.5">
      <c r="A6" s="103"/>
      <c r="B6" s="104" t="s">
        <v>4</v>
      </c>
      <c r="C6" s="105" t="s">
        <v>5</v>
      </c>
      <c r="D6" s="104" t="s">
        <v>4</v>
      </c>
      <c r="E6" s="105" t="s">
        <v>5</v>
      </c>
      <c r="F6" s="104" t="s">
        <v>4</v>
      </c>
      <c r="G6" s="105" t="s">
        <v>5</v>
      </c>
      <c r="H6" s="104" t="s">
        <v>4</v>
      </c>
      <c r="I6" s="105" t="s">
        <v>5</v>
      </c>
      <c r="J6" s="104" t="s">
        <v>4</v>
      </c>
      <c r="K6" s="105" t="s">
        <v>5</v>
      </c>
      <c r="L6" s="104" t="s">
        <v>4</v>
      </c>
      <c r="M6" s="105" t="s">
        <v>5</v>
      </c>
      <c r="N6" s="104" t="s">
        <v>4</v>
      </c>
      <c r="O6" s="138" t="s">
        <v>4</v>
      </c>
      <c r="P6" s="138" t="s">
        <v>4</v>
      </c>
      <c r="Q6" s="139" t="s">
        <v>4</v>
      </c>
      <c r="R6" s="107"/>
    </row>
    <row r="7" spans="1:18" ht="15.75" customHeight="1">
      <c r="A7" s="109" t="s">
        <v>55</v>
      </c>
      <c r="B7" s="110">
        <f>_xlfn.COMPOUNDVALUE(289)</f>
        <v>7311</v>
      </c>
      <c r="C7" s="111">
        <v>25157604</v>
      </c>
      <c r="D7" s="110">
        <f>_xlfn.COMPOUNDVALUE(290)</f>
        <v>6176</v>
      </c>
      <c r="E7" s="111">
        <v>1839497</v>
      </c>
      <c r="F7" s="110">
        <f>_xlfn.COMPOUNDVALUE(291)</f>
        <v>13487</v>
      </c>
      <c r="G7" s="111">
        <v>26997101</v>
      </c>
      <c r="H7" s="110">
        <f>_xlfn.COMPOUNDVALUE(292)</f>
        <v>362</v>
      </c>
      <c r="I7" s="112">
        <v>567329</v>
      </c>
      <c r="J7" s="110">
        <v>747</v>
      </c>
      <c r="K7" s="112">
        <v>-24264</v>
      </c>
      <c r="L7" s="110">
        <v>14039</v>
      </c>
      <c r="M7" s="112">
        <v>26405507</v>
      </c>
      <c r="N7" s="110">
        <v>14156</v>
      </c>
      <c r="O7" s="140">
        <v>402</v>
      </c>
      <c r="P7" s="140">
        <v>48</v>
      </c>
      <c r="Q7" s="141">
        <v>14606</v>
      </c>
      <c r="R7" s="113" t="s">
        <v>55</v>
      </c>
    </row>
    <row r="8" spans="1:18" ht="15.75" customHeight="1">
      <c r="A8" s="115" t="s">
        <v>56</v>
      </c>
      <c r="B8" s="116">
        <f>_xlfn.COMPOUNDVALUE(293)</f>
        <v>3567</v>
      </c>
      <c r="C8" s="117">
        <v>9421719</v>
      </c>
      <c r="D8" s="116">
        <f>_xlfn.COMPOUNDVALUE(294)</f>
        <v>2754</v>
      </c>
      <c r="E8" s="117">
        <v>831120</v>
      </c>
      <c r="F8" s="116">
        <f>_xlfn.COMPOUNDVALUE(295)</f>
        <v>6321</v>
      </c>
      <c r="G8" s="117">
        <v>10252839</v>
      </c>
      <c r="H8" s="116">
        <f>_xlfn.COMPOUNDVALUE(296)</f>
        <v>165</v>
      </c>
      <c r="I8" s="118">
        <v>278351</v>
      </c>
      <c r="J8" s="116">
        <v>297</v>
      </c>
      <c r="K8" s="118">
        <v>41652</v>
      </c>
      <c r="L8" s="116">
        <v>6572</v>
      </c>
      <c r="M8" s="118">
        <v>10016140</v>
      </c>
      <c r="N8" s="110">
        <v>6473</v>
      </c>
      <c r="O8" s="140">
        <v>153</v>
      </c>
      <c r="P8" s="140">
        <v>11</v>
      </c>
      <c r="Q8" s="141">
        <v>6637</v>
      </c>
      <c r="R8" s="113" t="s">
        <v>56</v>
      </c>
    </row>
    <row r="9" spans="1:18" ht="15.75" customHeight="1">
      <c r="A9" s="115" t="s">
        <v>57</v>
      </c>
      <c r="B9" s="116">
        <f>_xlfn.COMPOUNDVALUE(297)</f>
        <v>2121</v>
      </c>
      <c r="C9" s="117">
        <v>3833864</v>
      </c>
      <c r="D9" s="116">
        <f>_xlfn.COMPOUNDVALUE(298)</f>
        <v>2657</v>
      </c>
      <c r="E9" s="117">
        <v>746322</v>
      </c>
      <c r="F9" s="116">
        <f>_xlfn.COMPOUNDVALUE(299)</f>
        <v>4778</v>
      </c>
      <c r="G9" s="117">
        <v>4580187</v>
      </c>
      <c r="H9" s="116">
        <f>_xlfn.COMPOUNDVALUE(300)</f>
        <v>104</v>
      </c>
      <c r="I9" s="118">
        <v>149866</v>
      </c>
      <c r="J9" s="116">
        <v>233</v>
      </c>
      <c r="K9" s="118">
        <v>16538</v>
      </c>
      <c r="L9" s="116">
        <v>4924</v>
      </c>
      <c r="M9" s="118">
        <v>4446858</v>
      </c>
      <c r="N9" s="110">
        <v>4996</v>
      </c>
      <c r="O9" s="140">
        <v>82</v>
      </c>
      <c r="P9" s="140">
        <v>7</v>
      </c>
      <c r="Q9" s="141">
        <v>5085</v>
      </c>
      <c r="R9" s="113" t="s">
        <v>58</v>
      </c>
    </row>
    <row r="10" spans="1:18" ht="15.75" customHeight="1">
      <c r="A10" s="115" t="s">
        <v>59</v>
      </c>
      <c r="B10" s="116">
        <f>_xlfn.COMPOUNDVALUE(301)</f>
        <v>1077</v>
      </c>
      <c r="C10" s="117">
        <v>2409761</v>
      </c>
      <c r="D10" s="116">
        <f>_xlfn.COMPOUNDVALUE(302)</f>
        <v>1183</v>
      </c>
      <c r="E10" s="117">
        <v>299390</v>
      </c>
      <c r="F10" s="116">
        <f>_xlfn.COMPOUNDVALUE(303)</f>
        <v>2260</v>
      </c>
      <c r="G10" s="117">
        <v>2709151</v>
      </c>
      <c r="H10" s="116">
        <f>_xlfn.COMPOUNDVALUE(304)</f>
        <v>61</v>
      </c>
      <c r="I10" s="118">
        <v>56976</v>
      </c>
      <c r="J10" s="116">
        <v>82</v>
      </c>
      <c r="K10" s="118">
        <v>6027</v>
      </c>
      <c r="L10" s="116">
        <v>2348</v>
      </c>
      <c r="M10" s="118">
        <v>2658202</v>
      </c>
      <c r="N10" s="110">
        <v>2323</v>
      </c>
      <c r="O10" s="140">
        <v>39</v>
      </c>
      <c r="P10" s="140">
        <v>4</v>
      </c>
      <c r="Q10" s="141">
        <v>2366</v>
      </c>
      <c r="R10" s="113" t="s">
        <v>60</v>
      </c>
    </row>
    <row r="11" spans="1:18" ht="15.75" customHeight="1">
      <c r="A11" s="115" t="s">
        <v>61</v>
      </c>
      <c r="B11" s="116">
        <f>_xlfn.COMPOUNDVALUE(305)</f>
        <v>1609</v>
      </c>
      <c r="C11" s="117">
        <v>3426394</v>
      </c>
      <c r="D11" s="116">
        <f>_xlfn.COMPOUNDVALUE(306)</f>
        <v>1929</v>
      </c>
      <c r="E11" s="117">
        <v>493590</v>
      </c>
      <c r="F11" s="116">
        <f>_xlfn.COMPOUNDVALUE(307)</f>
        <v>3538</v>
      </c>
      <c r="G11" s="117">
        <v>3919984</v>
      </c>
      <c r="H11" s="116">
        <f>_xlfn.COMPOUNDVALUE(308)</f>
        <v>80</v>
      </c>
      <c r="I11" s="118">
        <v>225917</v>
      </c>
      <c r="J11" s="116">
        <v>192</v>
      </c>
      <c r="K11" s="118">
        <v>38709</v>
      </c>
      <c r="L11" s="116">
        <v>3666</v>
      </c>
      <c r="M11" s="118">
        <v>3732776</v>
      </c>
      <c r="N11" s="110">
        <v>3731</v>
      </c>
      <c r="O11" s="140">
        <v>49</v>
      </c>
      <c r="P11" s="140">
        <v>6</v>
      </c>
      <c r="Q11" s="141">
        <v>3786</v>
      </c>
      <c r="R11" s="113" t="s">
        <v>62</v>
      </c>
    </row>
    <row r="12" spans="1:18" ht="15.75" customHeight="1">
      <c r="A12" s="115" t="s">
        <v>63</v>
      </c>
      <c r="B12" s="116">
        <f>_xlfn.COMPOUNDVALUE(309)</f>
        <v>1643</v>
      </c>
      <c r="C12" s="117">
        <v>2483412</v>
      </c>
      <c r="D12" s="116">
        <f>_xlfn.COMPOUNDVALUE(310)</f>
        <v>1434</v>
      </c>
      <c r="E12" s="117">
        <v>381830</v>
      </c>
      <c r="F12" s="116">
        <f>_xlfn.COMPOUNDVALUE(311)</f>
        <v>3077</v>
      </c>
      <c r="G12" s="117">
        <v>2865242</v>
      </c>
      <c r="H12" s="116">
        <f>_xlfn.COMPOUNDVALUE(312)</f>
        <v>63</v>
      </c>
      <c r="I12" s="118">
        <v>92571</v>
      </c>
      <c r="J12" s="116">
        <v>175</v>
      </c>
      <c r="K12" s="118">
        <v>17158</v>
      </c>
      <c r="L12" s="116">
        <v>3174</v>
      </c>
      <c r="M12" s="118">
        <v>2789828</v>
      </c>
      <c r="N12" s="110">
        <v>3054</v>
      </c>
      <c r="O12" s="140">
        <v>64</v>
      </c>
      <c r="P12" s="140">
        <v>4</v>
      </c>
      <c r="Q12" s="141">
        <v>3122</v>
      </c>
      <c r="R12" s="113" t="s">
        <v>64</v>
      </c>
    </row>
    <row r="13" spans="1:18" ht="15.75" customHeight="1">
      <c r="A13" s="115" t="s">
        <v>65</v>
      </c>
      <c r="B13" s="116">
        <f>_xlfn.COMPOUNDVALUE(313)</f>
        <v>662</v>
      </c>
      <c r="C13" s="117">
        <v>1060648</v>
      </c>
      <c r="D13" s="116">
        <f>_xlfn.COMPOUNDVALUE(314)</f>
        <v>713</v>
      </c>
      <c r="E13" s="117">
        <v>169944</v>
      </c>
      <c r="F13" s="116">
        <f>_xlfn.COMPOUNDVALUE(315)</f>
        <v>1375</v>
      </c>
      <c r="G13" s="117">
        <v>1230593</v>
      </c>
      <c r="H13" s="116">
        <f>_xlfn.COMPOUNDVALUE(316)</f>
        <v>38</v>
      </c>
      <c r="I13" s="118">
        <v>459857</v>
      </c>
      <c r="J13" s="116">
        <v>79</v>
      </c>
      <c r="K13" s="118">
        <v>107</v>
      </c>
      <c r="L13" s="116">
        <v>1426</v>
      </c>
      <c r="M13" s="118">
        <v>770842</v>
      </c>
      <c r="N13" s="110">
        <v>1352</v>
      </c>
      <c r="O13" s="140">
        <v>27</v>
      </c>
      <c r="P13" s="140">
        <v>0</v>
      </c>
      <c r="Q13" s="141">
        <v>1379</v>
      </c>
      <c r="R13" s="113" t="s">
        <v>66</v>
      </c>
    </row>
    <row r="14" spans="1:18" ht="15.75" customHeight="1">
      <c r="A14" s="115" t="s">
        <v>67</v>
      </c>
      <c r="B14" s="116">
        <f>_xlfn.COMPOUNDVALUE(317)</f>
        <v>1964</v>
      </c>
      <c r="C14" s="117">
        <v>6449034</v>
      </c>
      <c r="D14" s="116">
        <f>_xlfn.COMPOUNDVALUE(318)</f>
        <v>1552</v>
      </c>
      <c r="E14" s="117">
        <v>422974</v>
      </c>
      <c r="F14" s="116">
        <f>_xlfn.COMPOUNDVALUE(319)</f>
        <v>3516</v>
      </c>
      <c r="G14" s="117">
        <v>6872007</v>
      </c>
      <c r="H14" s="116">
        <f>_xlfn.COMPOUNDVALUE(320)</f>
        <v>158</v>
      </c>
      <c r="I14" s="118">
        <v>127088</v>
      </c>
      <c r="J14" s="116">
        <v>149</v>
      </c>
      <c r="K14" s="118">
        <v>1310</v>
      </c>
      <c r="L14" s="116">
        <v>3696</v>
      </c>
      <c r="M14" s="118">
        <v>6746230</v>
      </c>
      <c r="N14" s="110">
        <v>3751</v>
      </c>
      <c r="O14" s="140">
        <v>79</v>
      </c>
      <c r="P14" s="140">
        <v>9</v>
      </c>
      <c r="Q14" s="141">
        <v>3839</v>
      </c>
      <c r="R14" s="113" t="s">
        <v>68</v>
      </c>
    </row>
    <row r="15" spans="1:18" ht="15.75" customHeight="1">
      <c r="A15" s="115" t="s">
        <v>69</v>
      </c>
      <c r="B15" s="116">
        <f>_xlfn.COMPOUNDVALUE(321)</f>
        <v>1193</v>
      </c>
      <c r="C15" s="117">
        <v>2361213</v>
      </c>
      <c r="D15" s="116">
        <f>_xlfn.COMPOUNDVALUE(322)</f>
        <v>1424</v>
      </c>
      <c r="E15" s="117">
        <v>361989</v>
      </c>
      <c r="F15" s="116">
        <f>_xlfn.COMPOUNDVALUE(323)</f>
        <v>2617</v>
      </c>
      <c r="G15" s="117">
        <v>2723203</v>
      </c>
      <c r="H15" s="116">
        <f>_xlfn.COMPOUNDVALUE(324)</f>
        <v>51</v>
      </c>
      <c r="I15" s="118">
        <v>45512</v>
      </c>
      <c r="J15" s="116">
        <v>71</v>
      </c>
      <c r="K15" s="118">
        <v>5900</v>
      </c>
      <c r="L15" s="116">
        <v>2681</v>
      </c>
      <c r="M15" s="118">
        <v>2683591</v>
      </c>
      <c r="N15" s="110">
        <v>2668</v>
      </c>
      <c r="O15" s="140">
        <v>47</v>
      </c>
      <c r="P15" s="140">
        <v>0</v>
      </c>
      <c r="Q15" s="141">
        <v>2715</v>
      </c>
      <c r="R15" s="113" t="s">
        <v>70</v>
      </c>
    </row>
    <row r="16" spans="1:18" ht="15.75" customHeight="1">
      <c r="A16" s="115" t="s">
        <v>71</v>
      </c>
      <c r="B16" s="116">
        <f>_xlfn.COMPOUNDVALUE(325)</f>
        <v>1043</v>
      </c>
      <c r="C16" s="117">
        <v>1660170</v>
      </c>
      <c r="D16" s="116">
        <f>_xlfn.COMPOUNDVALUE(326)</f>
        <v>925</v>
      </c>
      <c r="E16" s="117">
        <v>231483</v>
      </c>
      <c r="F16" s="116">
        <f>_xlfn.COMPOUNDVALUE(327)</f>
        <v>1968</v>
      </c>
      <c r="G16" s="117">
        <v>1891654</v>
      </c>
      <c r="H16" s="116">
        <f>_xlfn.COMPOUNDVALUE(328)</f>
        <v>64</v>
      </c>
      <c r="I16" s="118">
        <v>95487</v>
      </c>
      <c r="J16" s="116">
        <v>108</v>
      </c>
      <c r="K16" s="118">
        <v>12238</v>
      </c>
      <c r="L16" s="116">
        <v>2069</v>
      </c>
      <c r="M16" s="118">
        <v>1808405</v>
      </c>
      <c r="N16" s="110">
        <v>2120</v>
      </c>
      <c r="O16" s="140">
        <v>33</v>
      </c>
      <c r="P16" s="140">
        <v>2</v>
      </c>
      <c r="Q16" s="141">
        <v>2155</v>
      </c>
      <c r="R16" s="113" t="s">
        <v>72</v>
      </c>
    </row>
    <row r="17" spans="1:18" ht="15.75" customHeight="1">
      <c r="A17" s="148" t="s">
        <v>152</v>
      </c>
      <c r="B17" s="149">
        <v>22190</v>
      </c>
      <c r="C17" s="150">
        <v>58263818</v>
      </c>
      <c r="D17" s="149">
        <v>20747</v>
      </c>
      <c r="E17" s="150">
        <v>5778141</v>
      </c>
      <c r="F17" s="149">
        <v>42937</v>
      </c>
      <c r="G17" s="150">
        <v>64041959</v>
      </c>
      <c r="H17" s="149">
        <v>1146</v>
      </c>
      <c r="I17" s="151">
        <v>2098955</v>
      </c>
      <c r="J17" s="149">
        <v>2133</v>
      </c>
      <c r="K17" s="151">
        <v>115375</v>
      </c>
      <c r="L17" s="149">
        <v>44595</v>
      </c>
      <c r="M17" s="151">
        <v>62058379</v>
      </c>
      <c r="N17" s="149">
        <v>44624</v>
      </c>
      <c r="O17" s="164">
        <v>975</v>
      </c>
      <c r="P17" s="164">
        <v>91</v>
      </c>
      <c r="Q17" s="165">
        <v>45690</v>
      </c>
      <c r="R17" s="152" t="s">
        <v>74</v>
      </c>
    </row>
    <row r="18" spans="1:18" ht="15.75" customHeight="1">
      <c r="A18" s="163"/>
      <c r="B18" s="156"/>
      <c r="C18" s="155"/>
      <c r="D18" s="154"/>
      <c r="E18" s="155"/>
      <c r="F18" s="156"/>
      <c r="G18" s="155"/>
      <c r="H18" s="156"/>
      <c r="I18" s="155"/>
      <c r="J18" s="156"/>
      <c r="K18" s="155"/>
      <c r="L18" s="156"/>
      <c r="M18" s="155"/>
      <c r="N18" s="166"/>
      <c r="O18" s="167"/>
      <c r="P18" s="167"/>
      <c r="Q18" s="168"/>
      <c r="R18" s="157" t="s">
        <v>153</v>
      </c>
    </row>
    <row r="19" spans="1:18" ht="15.75" customHeight="1">
      <c r="A19" s="109" t="s">
        <v>75</v>
      </c>
      <c r="B19" s="110">
        <f>_xlfn.COMPOUNDVALUE(329)</f>
        <v>6171</v>
      </c>
      <c r="C19" s="111">
        <v>20779448</v>
      </c>
      <c r="D19" s="110">
        <f>_xlfn.COMPOUNDVALUE(330)</f>
        <v>4204</v>
      </c>
      <c r="E19" s="111">
        <v>1334362</v>
      </c>
      <c r="F19" s="110">
        <f>_xlfn.COMPOUNDVALUE(331)</f>
        <v>10375</v>
      </c>
      <c r="G19" s="111">
        <v>22113810</v>
      </c>
      <c r="H19" s="110">
        <f>_xlfn.COMPOUNDVALUE(332)</f>
        <v>282</v>
      </c>
      <c r="I19" s="112">
        <v>546256</v>
      </c>
      <c r="J19" s="110">
        <v>647</v>
      </c>
      <c r="K19" s="112">
        <v>104413</v>
      </c>
      <c r="L19" s="110">
        <v>10824</v>
      </c>
      <c r="M19" s="112">
        <v>21671966</v>
      </c>
      <c r="N19" s="110">
        <v>10756</v>
      </c>
      <c r="O19" s="140">
        <v>196</v>
      </c>
      <c r="P19" s="140">
        <v>20</v>
      </c>
      <c r="Q19" s="141">
        <v>10972</v>
      </c>
      <c r="R19" s="113" t="s">
        <v>75</v>
      </c>
    </row>
    <row r="20" spans="1:18" ht="15.75" customHeight="1">
      <c r="A20" s="109" t="s">
        <v>76</v>
      </c>
      <c r="B20" s="110">
        <f>_xlfn.COMPOUNDVALUE(333)</f>
        <v>2227</v>
      </c>
      <c r="C20" s="111">
        <v>6449998</v>
      </c>
      <c r="D20" s="110">
        <f>_xlfn.COMPOUNDVALUE(334)</f>
        <v>1825</v>
      </c>
      <c r="E20" s="111">
        <v>504949</v>
      </c>
      <c r="F20" s="110">
        <f>_xlfn.COMPOUNDVALUE(335)</f>
        <v>4052</v>
      </c>
      <c r="G20" s="111">
        <v>6954947</v>
      </c>
      <c r="H20" s="110">
        <f>_xlfn.COMPOUNDVALUE(336)</f>
        <v>127</v>
      </c>
      <c r="I20" s="112">
        <v>185490</v>
      </c>
      <c r="J20" s="110">
        <v>272</v>
      </c>
      <c r="K20" s="112">
        <v>30621</v>
      </c>
      <c r="L20" s="110">
        <v>4231</v>
      </c>
      <c r="M20" s="112">
        <v>6800078</v>
      </c>
      <c r="N20" s="110">
        <v>4270</v>
      </c>
      <c r="O20" s="140">
        <v>97</v>
      </c>
      <c r="P20" s="140">
        <v>7</v>
      </c>
      <c r="Q20" s="141">
        <v>4374</v>
      </c>
      <c r="R20" s="113" t="s">
        <v>76</v>
      </c>
    </row>
    <row r="21" spans="1:18" ht="15.75" customHeight="1">
      <c r="A21" s="115" t="s">
        <v>77</v>
      </c>
      <c r="B21" s="116">
        <f>_xlfn.COMPOUNDVALUE(337)</f>
        <v>1055</v>
      </c>
      <c r="C21" s="117">
        <v>3709812</v>
      </c>
      <c r="D21" s="116">
        <f>_xlfn.COMPOUNDVALUE(338)</f>
        <v>727</v>
      </c>
      <c r="E21" s="117">
        <v>212939</v>
      </c>
      <c r="F21" s="116">
        <f>_xlfn.COMPOUNDVALUE(339)</f>
        <v>1782</v>
      </c>
      <c r="G21" s="117">
        <v>3922751</v>
      </c>
      <c r="H21" s="116">
        <f>_xlfn.COMPOUNDVALUE(340)</f>
        <v>42</v>
      </c>
      <c r="I21" s="118">
        <v>77780</v>
      </c>
      <c r="J21" s="116">
        <v>93</v>
      </c>
      <c r="K21" s="118">
        <v>33880</v>
      </c>
      <c r="L21" s="116">
        <v>1841</v>
      </c>
      <c r="M21" s="118">
        <v>3878851</v>
      </c>
      <c r="N21" s="110">
        <v>1882</v>
      </c>
      <c r="O21" s="140">
        <v>31</v>
      </c>
      <c r="P21" s="140">
        <v>4</v>
      </c>
      <c r="Q21" s="141">
        <v>1917</v>
      </c>
      <c r="R21" s="113" t="s">
        <v>78</v>
      </c>
    </row>
    <row r="22" spans="1:18" ht="15.75" customHeight="1">
      <c r="A22" s="115" t="s">
        <v>79</v>
      </c>
      <c r="B22" s="116">
        <f>_xlfn.COMPOUNDVALUE(341)</f>
        <v>1426</v>
      </c>
      <c r="C22" s="117">
        <v>2383992</v>
      </c>
      <c r="D22" s="116">
        <f>_xlfn.COMPOUNDVALUE(342)</f>
        <v>1252</v>
      </c>
      <c r="E22" s="117">
        <v>332873</v>
      </c>
      <c r="F22" s="116">
        <f>_xlfn.COMPOUNDVALUE(343)</f>
        <v>2678</v>
      </c>
      <c r="G22" s="117">
        <v>2716865</v>
      </c>
      <c r="H22" s="116">
        <f>_xlfn.COMPOUNDVALUE(344)</f>
        <v>81</v>
      </c>
      <c r="I22" s="118">
        <v>112809</v>
      </c>
      <c r="J22" s="116">
        <v>137</v>
      </c>
      <c r="K22" s="118">
        <v>13885</v>
      </c>
      <c r="L22" s="116">
        <v>2791</v>
      </c>
      <c r="M22" s="118">
        <v>2617941</v>
      </c>
      <c r="N22" s="110">
        <v>2806</v>
      </c>
      <c r="O22" s="140">
        <v>56</v>
      </c>
      <c r="P22" s="140">
        <v>6</v>
      </c>
      <c r="Q22" s="141">
        <v>2868</v>
      </c>
      <c r="R22" s="113" t="s">
        <v>80</v>
      </c>
    </row>
    <row r="23" spans="1:18" ht="15.75" customHeight="1">
      <c r="A23" s="115" t="s">
        <v>81</v>
      </c>
      <c r="B23" s="116">
        <f>_xlfn.COMPOUNDVALUE(345)</f>
        <v>1122</v>
      </c>
      <c r="C23" s="117">
        <v>2407163</v>
      </c>
      <c r="D23" s="116">
        <f>_xlfn.COMPOUNDVALUE(346)</f>
        <v>745</v>
      </c>
      <c r="E23" s="117">
        <v>202508</v>
      </c>
      <c r="F23" s="116">
        <f>_xlfn.COMPOUNDVALUE(347)</f>
        <v>1867</v>
      </c>
      <c r="G23" s="117">
        <v>2609670</v>
      </c>
      <c r="H23" s="116">
        <f>_xlfn.COMPOUNDVALUE(348)</f>
        <v>71</v>
      </c>
      <c r="I23" s="118">
        <v>277301</v>
      </c>
      <c r="J23" s="116">
        <v>84</v>
      </c>
      <c r="K23" s="118">
        <v>5361</v>
      </c>
      <c r="L23" s="116">
        <v>1941</v>
      </c>
      <c r="M23" s="118">
        <v>2337730</v>
      </c>
      <c r="N23" s="110">
        <v>1966</v>
      </c>
      <c r="O23" s="140">
        <v>40</v>
      </c>
      <c r="P23" s="140">
        <v>8</v>
      </c>
      <c r="Q23" s="141">
        <v>2014</v>
      </c>
      <c r="R23" s="113" t="s">
        <v>82</v>
      </c>
    </row>
    <row r="24" spans="1:18" ht="15.75" customHeight="1">
      <c r="A24" s="115" t="s">
        <v>83</v>
      </c>
      <c r="B24" s="116">
        <f>_xlfn.COMPOUNDVALUE(349)</f>
        <v>697</v>
      </c>
      <c r="C24" s="117">
        <v>2788652</v>
      </c>
      <c r="D24" s="116">
        <f>_xlfn.COMPOUNDVALUE(350)</f>
        <v>620</v>
      </c>
      <c r="E24" s="117">
        <v>167160</v>
      </c>
      <c r="F24" s="116">
        <f>_xlfn.COMPOUNDVALUE(351)</f>
        <v>1317</v>
      </c>
      <c r="G24" s="117">
        <v>2955812</v>
      </c>
      <c r="H24" s="116">
        <f>_xlfn.COMPOUNDVALUE(352)</f>
        <v>44</v>
      </c>
      <c r="I24" s="118">
        <v>1251392</v>
      </c>
      <c r="J24" s="116">
        <v>63</v>
      </c>
      <c r="K24" s="118">
        <v>4868</v>
      </c>
      <c r="L24" s="116">
        <v>1373</v>
      </c>
      <c r="M24" s="118">
        <v>1709288</v>
      </c>
      <c r="N24" s="110">
        <v>1332</v>
      </c>
      <c r="O24" s="140">
        <v>27</v>
      </c>
      <c r="P24" s="140">
        <v>1</v>
      </c>
      <c r="Q24" s="141">
        <v>1360</v>
      </c>
      <c r="R24" s="113" t="s">
        <v>84</v>
      </c>
    </row>
    <row r="25" spans="1:18" ht="15.75" customHeight="1">
      <c r="A25" s="115" t="s">
        <v>85</v>
      </c>
      <c r="B25" s="116">
        <f>_xlfn.COMPOUNDVALUE(353)</f>
        <v>381</v>
      </c>
      <c r="C25" s="117">
        <v>502260</v>
      </c>
      <c r="D25" s="116">
        <f>_xlfn.COMPOUNDVALUE(354)</f>
        <v>396</v>
      </c>
      <c r="E25" s="117">
        <v>92463</v>
      </c>
      <c r="F25" s="116">
        <f>_xlfn.COMPOUNDVALUE(355)</f>
        <v>777</v>
      </c>
      <c r="G25" s="117">
        <v>594722</v>
      </c>
      <c r="H25" s="116">
        <f>_xlfn.COMPOUNDVALUE(356)</f>
        <v>20</v>
      </c>
      <c r="I25" s="118">
        <v>4162</v>
      </c>
      <c r="J25" s="116">
        <v>32</v>
      </c>
      <c r="K25" s="118">
        <v>3195</v>
      </c>
      <c r="L25" s="116">
        <v>812</v>
      </c>
      <c r="M25" s="118">
        <v>593754</v>
      </c>
      <c r="N25" s="110">
        <v>734</v>
      </c>
      <c r="O25" s="140">
        <v>19</v>
      </c>
      <c r="P25" s="140">
        <v>2</v>
      </c>
      <c r="Q25" s="141">
        <v>755</v>
      </c>
      <c r="R25" s="113" t="s">
        <v>86</v>
      </c>
    </row>
    <row r="26" spans="1:18" ht="15.75" customHeight="1">
      <c r="A26" s="115" t="s">
        <v>87</v>
      </c>
      <c r="B26" s="116">
        <f>_xlfn.COMPOUNDVALUE(357)</f>
        <v>994</v>
      </c>
      <c r="C26" s="117">
        <v>3771315</v>
      </c>
      <c r="D26" s="116">
        <f>_xlfn.COMPOUNDVALUE(358)</f>
        <v>796</v>
      </c>
      <c r="E26" s="117">
        <v>227135</v>
      </c>
      <c r="F26" s="116">
        <f>_xlfn.COMPOUNDVALUE(359)</f>
        <v>1790</v>
      </c>
      <c r="G26" s="117">
        <v>3998450</v>
      </c>
      <c r="H26" s="116">
        <f>_xlfn.COMPOUNDVALUE(360)</f>
        <v>92</v>
      </c>
      <c r="I26" s="118">
        <v>80908</v>
      </c>
      <c r="J26" s="116">
        <v>79</v>
      </c>
      <c r="K26" s="118">
        <v>5422</v>
      </c>
      <c r="L26" s="116">
        <v>1890</v>
      </c>
      <c r="M26" s="118">
        <v>3922964</v>
      </c>
      <c r="N26" s="110">
        <v>1838</v>
      </c>
      <c r="O26" s="140">
        <v>57</v>
      </c>
      <c r="P26" s="140">
        <v>5</v>
      </c>
      <c r="Q26" s="141">
        <v>1900</v>
      </c>
      <c r="R26" s="113" t="s">
        <v>88</v>
      </c>
    </row>
    <row r="27" spans="1:18" ht="15.75" customHeight="1">
      <c r="A27" s="115" t="s">
        <v>89</v>
      </c>
      <c r="B27" s="116">
        <f>_xlfn.COMPOUNDVALUE(361)</f>
        <v>374</v>
      </c>
      <c r="C27" s="117">
        <v>506427</v>
      </c>
      <c r="D27" s="116">
        <f>_xlfn.COMPOUNDVALUE(362)</f>
        <v>405</v>
      </c>
      <c r="E27" s="117">
        <v>100041</v>
      </c>
      <c r="F27" s="116">
        <f>_xlfn.COMPOUNDVALUE(363)</f>
        <v>779</v>
      </c>
      <c r="G27" s="117">
        <v>606469</v>
      </c>
      <c r="H27" s="116">
        <f>_xlfn.COMPOUNDVALUE(364)</f>
        <v>23</v>
      </c>
      <c r="I27" s="118">
        <v>23692</v>
      </c>
      <c r="J27" s="116">
        <v>54</v>
      </c>
      <c r="K27" s="118">
        <v>-3303</v>
      </c>
      <c r="L27" s="116">
        <v>814</v>
      </c>
      <c r="M27" s="118">
        <v>579474</v>
      </c>
      <c r="N27" s="110">
        <v>739</v>
      </c>
      <c r="O27" s="140">
        <v>16</v>
      </c>
      <c r="P27" s="140">
        <v>0</v>
      </c>
      <c r="Q27" s="141">
        <v>755</v>
      </c>
      <c r="R27" s="113" t="s">
        <v>90</v>
      </c>
    </row>
    <row r="28" spans="1:18" ht="15.75" customHeight="1">
      <c r="A28" s="148" t="s">
        <v>91</v>
      </c>
      <c r="B28" s="149">
        <v>14447</v>
      </c>
      <c r="C28" s="150">
        <v>43299067</v>
      </c>
      <c r="D28" s="149">
        <v>10970</v>
      </c>
      <c r="E28" s="150">
        <v>3174428</v>
      </c>
      <c r="F28" s="149">
        <v>25417</v>
      </c>
      <c r="G28" s="150">
        <v>46473495</v>
      </c>
      <c r="H28" s="149">
        <v>782</v>
      </c>
      <c r="I28" s="151">
        <v>2559790</v>
      </c>
      <c r="J28" s="149">
        <v>1461</v>
      </c>
      <c r="K28" s="151">
        <v>198342</v>
      </c>
      <c r="L28" s="149">
        <v>26517</v>
      </c>
      <c r="M28" s="151">
        <v>44112047</v>
      </c>
      <c r="N28" s="149">
        <v>26323</v>
      </c>
      <c r="O28" s="164">
        <v>539</v>
      </c>
      <c r="P28" s="164">
        <v>53</v>
      </c>
      <c r="Q28" s="165">
        <v>26915</v>
      </c>
      <c r="R28" s="152" t="s">
        <v>92</v>
      </c>
    </row>
    <row r="29" spans="1:18" ht="15.75" customHeight="1">
      <c r="A29" s="163"/>
      <c r="B29" s="156"/>
      <c r="C29" s="155"/>
      <c r="D29" s="154"/>
      <c r="E29" s="155"/>
      <c r="F29" s="156"/>
      <c r="G29" s="155"/>
      <c r="H29" s="156"/>
      <c r="I29" s="155"/>
      <c r="J29" s="156"/>
      <c r="K29" s="155"/>
      <c r="L29" s="156"/>
      <c r="M29" s="155"/>
      <c r="N29" s="166"/>
      <c r="O29" s="167"/>
      <c r="P29" s="167"/>
      <c r="Q29" s="168"/>
      <c r="R29" s="157" t="s">
        <v>153</v>
      </c>
    </row>
    <row r="30" spans="1:18" ht="15.75" customHeight="1">
      <c r="A30" s="109" t="s">
        <v>93</v>
      </c>
      <c r="B30" s="110">
        <f>_xlfn.COMPOUNDVALUE(365)</f>
        <v>5092</v>
      </c>
      <c r="C30" s="111">
        <v>14521660</v>
      </c>
      <c r="D30" s="110">
        <f>_xlfn.COMPOUNDVALUE(366)</f>
        <v>4660</v>
      </c>
      <c r="E30" s="111">
        <v>1298408</v>
      </c>
      <c r="F30" s="110">
        <f>_xlfn.COMPOUNDVALUE(367)</f>
        <v>9752</v>
      </c>
      <c r="G30" s="111">
        <v>15820069</v>
      </c>
      <c r="H30" s="110">
        <f>_xlfn.COMPOUNDVALUE(368)</f>
        <v>224</v>
      </c>
      <c r="I30" s="112">
        <v>471207</v>
      </c>
      <c r="J30" s="110">
        <v>507</v>
      </c>
      <c r="K30" s="112">
        <v>42405</v>
      </c>
      <c r="L30" s="110">
        <v>10091</v>
      </c>
      <c r="M30" s="112">
        <v>15391266</v>
      </c>
      <c r="N30" s="110">
        <v>10468</v>
      </c>
      <c r="O30" s="140">
        <v>157</v>
      </c>
      <c r="P30" s="140">
        <v>22</v>
      </c>
      <c r="Q30" s="141">
        <v>10647</v>
      </c>
      <c r="R30" s="113" t="s">
        <v>94</v>
      </c>
    </row>
    <row r="31" spans="1:18" ht="15.75" customHeight="1">
      <c r="A31" s="115" t="s">
        <v>95</v>
      </c>
      <c r="B31" s="116">
        <f>_xlfn.COMPOUNDVALUE(369)</f>
        <v>2747</v>
      </c>
      <c r="C31" s="117">
        <v>7000796</v>
      </c>
      <c r="D31" s="116">
        <f>_xlfn.COMPOUNDVALUE(370)</f>
        <v>1770</v>
      </c>
      <c r="E31" s="117">
        <v>506588</v>
      </c>
      <c r="F31" s="116">
        <f>_xlfn.COMPOUNDVALUE(371)</f>
        <v>4517</v>
      </c>
      <c r="G31" s="117">
        <v>7507383</v>
      </c>
      <c r="H31" s="116">
        <f>_xlfn.COMPOUNDVALUE(372)</f>
        <v>188</v>
      </c>
      <c r="I31" s="118">
        <v>361881</v>
      </c>
      <c r="J31" s="116">
        <v>219</v>
      </c>
      <c r="K31" s="118">
        <v>33599</v>
      </c>
      <c r="L31" s="116">
        <v>4748</v>
      </c>
      <c r="M31" s="118">
        <v>7179101</v>
      </c>
      <c r="N31" s="110">
        <v>4718</v>
      </c>
      <c r="O31" s="140">
        <v>97</v>
      </c>
      <c r="P31" s="140">
        <v>10</v>
      </c>
      <c r="Q31" s="141">
        <v>4825</v>
      </c>
      <c r="R31" s="113" t="s">
        <v>96</v>
      </c>
    </row>
    <row r="32" spans="1:18" ht="15.75" customHeight="1">
      <c r="A32" s="115" t="s">
        <v>97</v>
      </c>
      <c r="B32" s="116">
        <f>_xlfn.COMPOUNDVALUE(373)</f>
        <v>3105</v>
      </c>
      <c r="C32" s="117">
        <v>6427858</v>
      </c>
      <c r="D32" s="116">
        <f>_xlfn.COMPOUNDVALUE(374)</f>
        <v>2210</v>
      </c>
      <c r="E32" s="117">
        <v>667522</v>
      </c>
      <c r="F32" s="116">
        <f>_xlfn.COMPOUNDVALUE(375)</f>
        <v>5315</v>
      </c>
      <c r="G32" s="117">
        <v>7095380</v>
      </c>
      <c r="H32" s="116">
        <f>_xlfn.COMPOUNDVALUE(376)</f>
        <v>172</v>
      </c>
      <c r="I32" s="118">
        <v>150568</v>
      </c>
      <c r="J32" s="116">
        <v>206</v>
      </c>
      <c r="K32" s="118">
        <v>28906</v>
      </c>
      <c r="L32" s="116">
        <v>5565</v>
      </c>
      <c r="M32" s="118">
        <v>6973717</v>
      </c>
      <c r="N32" s="110">
        <v>5514</v>
      </c>
      <c r="O32" s="140">
        <v>77</v>
      </c>
      <c r="P32" s="140">
        <v>8</v>
      </c>
      <c r="Q32" s="141">
        <v>5599</v>
      </c>
      <c r="R32" s="113" t="s">
        <v>98</v>
      </c>
    </row>
    <row r="33" spans="1:18" ht="15.75" customHeight="1">
      <c r="A33" s="115" t="s">
        <v>99</v>
      </c>
      <c r="B33" s="116">
        <f>_xlfn.COMPOUNDVALUE(377)</f>
        <v>928</v>
      </c>
      <c r="C33" s="117">
        <v>1685449</v>
      </c>
      <c r="D33" s="116">
        <f>_xlfn.COMPOUNDVALUE(378)</f>
        <v>1038</v>
      </c>
      <c r="E33" s="117">
        <v>268181</v>
      </c>
      <c r="F33" s="116">
        <f>_xlfn.COMPOUNDVALUE(379)</f>
        <v>1966</v>
      </c>
      <c r="G33" s="117">
        <v>1953630</v>
      </c>
      <c r="H33" s="116">
        <f>_xlfn.COMPOUNDVALUE(380)</f>
        <v>59</v>
      </c>
      <c r="I33" s="118">
        <v>67841</v>
      </c>
      <c r="J33" s="116">
        <v>119</v>
      </c>
      <c r="K33" s="118">
        <v>15514</v>
      </c>
      <c r="L33" s="116">
        <v>2070</v>
      </c>
      <c r="M33" s="118">
        <v>1901302</v>
      </c>
      <c r="N33" s="110">
        <v>1997</v>
      </c>
      <c r="O33" s="140">
        <v>47</v>
      </c>
      <c r="P33" s="140">
        <v>1</v>
      </c>
      <c r="Q33" s="141">
        <v>2045</v>
      </c>
      <c r="R33" s="113" t="s">
        <v>100</v>
      </c>
    </row>
    <row r="34" spans="1:18" ht="15.75" customHeight="1">
      <c r="A34" s="115" t="s">
        <v>101</v>
      </c>
      <c r="B34" s="116">
        <f>_xlfn.COMPOUNDVALUE(381)</f>
        <v>1145</v>
      </c>
      <c r="C34" s="117">
        <v>1596786</v>
      </c>
      <c r="D34" s="116">
        <f>_xlfn.COMPOUNDVALUE(382)</f>
        <v>944</v>
      </c>
      <c r="E34" s="117">
        <v>240676</v>
      </c>
      <c r="F34" s="116">
        <f>_xlfn.COMPOUNDVALUE(383)</f>
        <v>2089</v>
      </c>
      <c r="G34" s="117">
        <v>1837462</v>
      </c>
      <c r="H34" s="116">
        <f>_xlfn.COMPOUNDVALUE(384)</f>
        <v>111</v>
      </c>
      <c r="I34" s="118">
        <v>113676</v>
      </c>
      <c r="J34" s="116">
        <v>105</v>
      </c>
      <c r="K34" s="118">
        <v>3464</v>
      </c>
      <c r="L34" s="116">
        <v>2226</v>
      </c>
      <c r="M34" s="118">
        <v>1727250</v>
      </c>
      <c r="N34" s="110">
        <v>2157</v>
      </c>
      <c r="O34" s="140">
        <v>43</v>
      </c>
      <c r="P34" s="140">
        <v>3</v>
      </c>
      <c r="Q34" s="141">
        <v>2203</v>
      </c>
      <c r="R34" s="113" t="s">
        <v>102</v>
      </c>
    </row>
    <row r="35" spans="1:18" ht="15.75" customHeight="1">
      <c r="A35" s="115" t="s">
        <v>103</v>
      </c>
      <c r="B35" s="116">
        <f>_xlfn.COMPOUNDVALUE(385)</f>
        <v>1336</v>
      </c>
      <c r="C35" s="117">
        <v>2364242</v>
      </c>
      <c r="D35" s="116">
        <f>_xlfn.COMPOUNDVALUE(386)</f>
        <v>1882</v>
      </c>
      <c r="E35" s="117">
        <v>432603</v>
      </c>
      <c r="F35" s="116">
        <f>_xlfn.COMPOUNDVALUE(387)</f>
        <v>3218</v>
      </c>
      <c r="G35" s="117">
        <v>2796844</v>
      </c>
      <c r="H35" s="116">
        <f>_xlfn.COMPOUNDVALUE(388)</f>
        <v>145</v>
      </c>
      <c r="I35" s="118">
        <v>417772</v>
      </c>
      <c r="J35" s="116">
        <v>167</v>
      </c>
      <c r="K35" s="118">
        <v>33230</v>
      </c>
      <c r="L35" s="116">
        <v>3410</v>
      </c>
      <c r="M35" s="118">
        <v>2412303</v>
      </c>
      <c r="N35" s="110">
        <v>3222</v>
      </c>
      <c r="O35" s="140">
        <v>76</v>
      </c>
      <c r="P35" s="140">
        <v>4</v>
      </c>
      <c r="Q35" s="141">
        <v>3302</v>
      </c>
      <c r="R35" s="113" t="s">
        <v>104</v>
      </c>
    </row>
    <row r="36" spans="1:18" ht="15.75" customHeight="1">
      <c r="A36" s="148" t="s">
        <v>105</v>
      </c>
      <c r="B36" s="149">
        <v>14353</v>
      </c>
      <c r="C36" s="150">
        <v>33596790</v>
      </c>
      <c r="D36" s="149">
        <v>12504</v>
      </c>
      <c r="E36" s="150">
        <v>3413978</v>
      </c>
      <c r="F36" s="149">
        <v>26857</v>
      </c>
      <c r="G36" s="150">
        <v>37010768</v>
      </c>
      <c r="H36" s="149">
        <v>899</v>
      </c>
      <c r="I36" s="151">
        <v>1582946</v>
      </c>
      <c r="J36" s="149">
        <v>1323</v>
      </c>
      <c r="K36" s="151">
        <v>157118</v>
      </c>
      <c r="L36" s="149">
        <v>28110</v>
      </c>
      <c r="M36" s="151">
        <v>35584940</v>
      </c>
      <c r="N36" s="149">
        <v>28076</v>
      </c>
      <c r="O36" s="164">
        <v>497</v>
      </c>
      <c r="P36" s="164">
        <v>48</v>
      </c>
      <c r="Q36" s="165">
        <v>28621</v>
      </c>
      <c r="R36" s="152" t="s">
        <v>106</v>
      </c>
    </row>
    <row r="37" spans="1:18" ht="15.75" customHeight="1">
      <c r="A37" s="163"/>
      <c r="B37" s="154"/>
      <c r="C37" s="155"/>
      <c r="D37" s="154"/>
      <c r="E37" s="155"/>
      <c r="F37" s="156"/>
      <c r="G37" s="155"/>
      <c r="H37" s="156"/>
      <c r="I37" s="155"/>
      <c r="J37" s="156"/>
      <c r="K37" s="155"/>
      <c r="L37" s="156"/>
      <c r="M37" s="155"/>
      <c r="N37" s="166"/>
      <c r="O37" s="167"/>
      <c r="P37" s="167"/>
      <c r="Q37" s="168"/>
      <c r="R37" s="157" t="s">
        <v>153</v>
      </c>
    </row>
    <row r="38" spans="1:18" ht="15.75" customHeight="1">
      <c r="A38" s="109" t="s">
        <v>107</v>
      </c>
      <c r="B38" s="110">
        <f>_xlfn.COMPOUNDVALUE(389)</f>
        <v>7744</v>
      </c>
      <c r="C38" s="111">
        <v>28487243</v>
      </c>
      <c r="D38" s="110">
        <f>_xlfn.COMPOUNDVALUE(390)</f>
        <v>5213</v>
      </c>
      <c r="E38" s="111">
        <v>1605662</v>
      </c>
      <c r="F38" s="110">
        <f>_xlfn.COMPOUNDVALUE(391)</f>
        <v>12957</v>
      </c>
      <c r="G38" s="111">
        <v>30092905</v>
      </c>
      <c r="H38" s="110">
        <f>_xlfn.COMPOUNDVALUE(392)</f>
        <v>399</v>
      </c>
      <c r="I38" s="112">
        <v>811033</v>
      </c>
      <c r="J38" s="110">
        <v>724</v>
      </c>
      <c r="K38" s="112">
        <v>64076</v>
      </c>
      <c r="L38" s="110">
        <v>13495</v>
      </c>
      <c r="M38" s="112">
        <v>29345947</v>
      </c>
      <c r="N38" s="110">
        <v>13549</v>
      </c>
      <c r="O38" s="140">
        <v>288</v>
      </c>
      <c r="P38" s="140">
        <v>51</v>
      </c>
      <c r="Q38" s="141">
        <v>13888</v>
      </c>
      <c r="R38" s="113" t="s">
        <v>108</v>
      </c>
    </row>
    <row r="39" spans="1:18" ht="15.75" customHeight="1">
      <c r="A39" s="109" t="s">
        <v>109</v>
      </c>
      <c r="B39" s="110">
        <f>_xlfn.COMPOUNDVALUE(393)</f>
        <v>1304</v>
      </c>
      <c r="C39" s="111">
        <v>2588287</v>
      </c>
      <c r="D39" s="110">
        <f>_xlfn.COMPOUNDVALUE(394)</f>
        <v>1037</v>
      </c>
      <c r="E39" s="111">
        <v>296240</v>
      </c>
      <c r="F39" s="110">
        <f>_xlfn.COMPOUNDVALUE(395)</f>
        <v>2341</v>
      </c>
      <c r="G39" s="111">
        <v>2884527</v>
      </c>
      <c r="H39" s="110">
        <f>_xlfn.COMPOUNDVALUE(396)</f>
        <v>78</v>
      </c>
      <c r="I39" s="112">
        <v>59344</v>
      </c>
      <c r="J39" s="110">
        <v>109</v>
      </c>
      <c r="K39" s="112">
        <v>11254</v>
      </c>
      <c r="L39" s="110">
        <v>2440</v>
      </c>
      <c r="M39" s="112">
        <v>2836437</v>
      </c>
      <c r="N39" s="110">
        <v>2387</v>
      </c>
      <c r="O39" s="140">
        <v>54</v>
      </c>
      <c r="P39" s="140">
        <v>5</v>
      </c>
      <c r="Q39" s="141">
        <v>2446</v>
      </c>
      <c r="R39" s="113" t="s">
        <v>110</v>
      </c>
    </row>
    <row r="40" spans="1:18" ht="15.75" customHeight="1">
      <c r="A40" s="109" t="s">
        <v>111</v>
      </c>
      <c r="B40" s="110">
        <f>_xlfn.COMPOUNDVALUE(397)</f>
        <v>2127</v>
      </c>
      <c r="C40" s="111">
        <v>3645676</v>
      </c>
      <c r="D40" s="110">
        <f>_xlfn.COMPOUNDVALUE(398)</f>
        <v>1618</v>
      </c>
      <c r="E40" s="111">
        <v>438939</v>
      </c>
      <c r="F40" s="110">
        <f>_xlfn.COMPOUNDVALUE(399)</f>
        <v>3745</v>
      </c>
      <c r="G40" s="111">
        <v>4084614</v>
      </c>
      <c r="H40" s="110">
        <f>_xlfn.COMPOUNDVALUE(400)</f>
        <v>185</v>
      </c>
      <c r="I40" s="112">
        <v>214269</v>
      </c>
      <c r="J40" s="110">
        <v>170</v>
      </c>
      <c r="K40" s="112">
        <v>-6200</v>
      </c>
      <c r="L40" s="110">
        <v>3970</v>
      </c>
      <c r="M40" s="112">
        <v>3864146</v>
      </c>
      <c r="N40" s="110">
        <v>4034</v>
      </c>
      <c r="O40" s="140">
        <v>82</v>
      </c>
      <c r="P40" s="140">
        <v>3</v>
      </c>
      <c r="Q40" s="141">
        <v>4119</v>
      </c>
      <c r="R40" s="113" t="s">
        <v>112</v>
      </c>
    </row>
    <row r="41" spans="1:18" ht="15.75" customHeight="1">
      <c r="A41" s="109" t="s">
        <v>113</v>
      </c>
      <c r="B41" s="110">
        <f>_xlfn.COMPOUNDVALUE(401)</f>
        <v>1651</v>
      </c>
      <c r="C41" s="111">
        <v>2129427</v>
      </c>
      <c r="D41" s="110">
        <f>_xlfn.COMPOUNDVALUE(402)</f>
        <v>1087</v>
      </c>
      <c r="E41" s="111">
        <v>293831</v>
      </c>
      <c r="F41" s="110">
        <f>_xlfn.COMPOUNDVALUE(403)</f>
        <v>2738</v>
      </c>
      <c r="G41" s="111">
        <v>2423257</v>
      </c>
      <c r="H41" s="110">
        <f>_xlfn.COMPOUNDVALUE(404)</f>
        <v>81</v>
      </c>
      <c r="I41" s="112">
        <v>177214</v>
      </c>
      <c r="J41" s="110">
        <v>113</v>
      </c>
      <c r="K41" s="112">
        <v>28424</v>
      </c>
      <c r="L41" s="110">
        <v>2847</v>
      </c>
      <c r="M41" s="112">
        <v>2274468</v>
      </c>
      <c r="N41" s="110">
        <v>2991</v>
      </c>
      <c r="O41" s="140">
        <v>59</v>
      </c>
      <c r="P41" s="140">
        <v>6</v>
      </c>
      <c r="Q41" s="141">
        <v>3056</v>
      </c>
      <c r="R41" s="113" t="s">
        <v>114</v>
      </c>
    </row>
    <row r="42" spans="1:18" ht="15.75" customHeight="1">
      <c r="A42" s="115" t="s">
        <v>115</v>
      </c>
      <c r="B42" s="116">
        <f>_xlfn.COMPOUNDVALUE(405)</f>
        <v>1256</v>
      </c>
      <c r="C42" s="117">
        <v>2623518</v>
      </c>
      <c r="D42" s="116">
        <f>_xlfn.COMPOUNDVALUE(406)</f>
        <v>799</v>
      </c>
      <c r="E42" s="117">
        <v>222608</v>
      </c>
      <c r="F42" s="116">
        <f>_xlfn.COMPOUNDVALUE(407)</f>
        <v>2055</v>
      </c>
      <c r="G42" s="117">
        <v>2846126</v>
      </c>
      <c r="H42" s="116">
        <f>_xlfn.COMPOUNDVALUE(408)</f>
        <v>184</v>
      </c>
      <c r="I42" s="118">
        <v>123958</v>
      </c>
      <c r="J42" s="116">
        <v>100</v>
      </c>
      <c r="K42" s="118">
        <v>4099</v>
      </c>
      <c r="L42" s="116">
        <v>2259</v>
      </c>
      <c r="M42" s="118">
        <v>2726267</v>
      </c>
      <c r="N42" s="110">
        <v>2223</v>
      </c>
      <c r="O42" s="140">
        <v>62</v>
      </c>
      <c r="P42" s="140">
        <v>3</v>
      </c>
      <c r="Q42" s="141">
        <v>2288</v>
      </c>
      <c r="R42" s="113" t="s">
        <v>116</v>
      </c>
    </row>
    <row r="43" spans="1:18" ht="15.75" customHeight="1">
      <c r="A43" s="115" t="s">
        <v>117</v>
      </c>
      <c r="B43" s="116">
        <f>_xlfn.COMPOUNDVALUE(409)</f>
        <v>537</v>
      </c>
      <c r="C43" s="117">
        <v>928993</v>
      </c>
      <c r="D43" s="116">
        <f>_xlfn.COMPOUNDVALUE(410)</f>
        <v>619</v>
      </c>
      <c r="E43" s="117">
        <v>159377</v>
      </c>
      <c r="F43" s="116">
        <f>_xlfn.COMPOUNDVALUE(411)</f>
        <v>1156</v>
      </c>
      <c r="G43" s="117">
        <v>1088370</v>
      </c>
      <c r="H43" s="116">
        <f>_xlfn.COMPOUNDVALUE(412)</f>
        <v>26</v>
      </c>
      <c r="I43" s="118">
        <v>46128</v>
      </c>
      <c r="J43" s="116">
        <v>45</v>
      </c>
      <c r="K43" s="118">
        <v>5134</v>
      </c>
      <c r="L43" s="116">
        <v>1187</v>
      </c>
      <c r="M43" s="118">
        <v>1047375</v>
      </c>
      <c r="N43" s="116">
        <v>1202</v>
      </c>
      <c r="O43" s="142">
        <v>15</v>
      </c>
      <c r="P43" s="142">
        <v>2</v>
      </c>
      <c r="Q43" s="143">
        <v>1219</v>
      </c>
      <c r="R43" s="119" t="s">
        <v>118</v>
      </c>
    </row>
    <row r="44" spans="1:18" ht="15.75" customHeight="1">
      <c r="A44" s="115" t="s">
        <v>119</v>
      </c>
      <c r="B44" s="116">
        <f>_xlfn.COMPOUNDVALUE(413)</f>
        <v>650</v>
      </c>
      <c r="C44" s="117">
        <v>893199</v>
      </c>
      <c r="D44" s="116">
        <f>_xlfn.COMPOUNDVALUE(414)</f>
        <v>586</v>
      </c>
      <c r="E44" s="117">
        <v>149441</v>
      </c>
      <c r="F44" s="116">
        <f>_xlfn.COMPOUNDVALUE(415)</f>
        <v>1236</v>
      </c>
      <c r="G44" s="117">
        <v>1042641</v>
      </c>
      <c r="H44" s="116">
        <f>_xlfn.COMPOUNDVALUE(416)</f>
        <v>33</v>
      </c>
      <c r="I44" s="118">
        <v>28411</v>
      </c>
      <c r="J44" s="116">
        <v>56</v>
      </c>
      <c r="K44" s="118">
        <v>12048</v>
      </c>
      <c r="L44" s="116">
        <v>1280</v>
      </c>
      <c r="M44" s="118">
        <v>1026278</v>
      </c>
      <c r="N44" s="116">
        <v>1244</v>
      </c>
      <c r="O44" s="142">
        <v>24</v>
      </c>
      <c r="P44" s="142">
        <v>3</v>
      </c>
      <c r="Q44" s="143">
        <v>1271</v>
      </c>
      <c r="R44" s="119" t="s">
        <v>120</v>
      </c>
    </row>
    <row r="45" spans="1:18" ht="15.75" customHeight="1">
      <c r="A45" s="115" t="s">
        <v>121</v>
      </c>
      <c r="B45" s="116">
        <f>_xlfn.COMPOUNDVALUE(417)</f>
        <v>1295</v>
      </c>
      <c r="C45" s="117">
        <v>2544681</v>
      </c>
      <c r="D45" s="116">
        <f>_xlfn.COMPOUNDVALUE(418)</f>
        <v>1418</v>
      </c>
      <c r="E45" s="117">
        <v>379219</v>
      </c>
      <c r="F45" s="116">
        <f>_xlfn.COMPOUNDVALUE(419)</f>
        <v>2713</v>
      </c>
      <c r="G45" s="117">
        <v>2923900</v>
      </c>
      <c r="H45" s="116">
        <f>_xlfn.COMPOUNDVALUE(420)</f>
        <v>89</v>
      </c>
      <c r="I45" s="118">
        <v>69095</v>
      </c>
      <c r="J45" s="116">
        <v>126</v>
      </c>
      <c r="K45" s="118">
        <v>7180</v>
      </c>
      <c r="L45" s="116">
        <v>2823</v>
      </c>
      <c r="M45" s="118">
        <v>2861985</v>
      </c>
      <c r="N45" s="116">
        <v>2796</v>
      </c>
      <c r="O45" s="142">
        <v>59</v>
      </c>
      <c r="P45" s="142">
        <v>4</v>
      </c>
      <c r="Q45" s="143">
        <v>2859</v>
      </c>
      <c r="R45" s="119" t="s">
        <v>122</v>
      </c>
    </row>
    <row r="46" spans="1:18" ht="15.75" customHeight="1">
      <c r="A46" s="115" t="s">
        <v>123</v>
      </c>
      <c r="B46" s="116">
        <f>_xlfn.COMPOUNDVALUE(421)</f>
        <v>850</v>
      </c>
      <c r="C46" s="117">
        <v>3047804</v>
      </c>
      <c r="D46" s="116">
        <f>_xlfn.COMPOUNDVALUE(422)</f>
        <v>639</v>
      </c>
      <c r="E46" s="117">
        <v>185654</v>
      </c>
      <c r="F46" s="116">
        <f>_xlfn.COMPOUNDVALUE(423)</f>
        <v>1489</v>
      </c>
      <c r="G46" s="117">
        <v>3233458</v>
      </c>
      <c r="H46" s="116">
        <f>_xlfn.COMPOUNDVALUE(424)</f>
        <v>52</v>
      </c>
      <c r="I46" s="118">
        <v>145132</v>
      </c>
      <c r="J46" s="116">
        <v>66</v>
      </c>
      <c r="K46" s="118">
        <v>1824</v>
      </c>
      <c r="L46" s="116">
        <v>1552</v>
      </c>
      <c r="M46" s="118">
        <v>3090150</v>
      </c>
      <c r="N46" s="116">
        <v>1491</v>
      </c>
      <c r="O46" s="142">
        <v>27</v>
      </c>
      <c r="P46" s="142">
        <v>2</v>
      </c>
      <c r="Q46" s="143">
        <v>1520</v>
      </c>
      <c r="R46" s="119" t="s">
        <v>124</v>
      </c>
    </row>
    <row r="47" spans="1:18" ht="15.75" customHeight="1">
      <c r="A47" s="115" t="s">
        <v>125</v>
      </c>
      <c r="B47" s="116">
        <f>_xlfn.COMPOUNDVALUE(425)</f>
        <v>2052</v>
      </c>
      <c r="C47" s="117">
        <v>5140066</v>
      </c>
      <c r="D47" s="116">
        <f>_xlfn.COMPOUNDVALUE(426)</f>
        <v>1732</v>
      </c>
      <c r="E47" s="117">
        <v>496889</v>
      </c>
      <c r="F47" s="116">
        <f>_xlfn.COMPOUNDVALUE(427)</f>
        <v>3784</v>
      </c>
      <c r="G47" s="117">
        <v>5636955</v>
      </c>
      <c r="H47" s="116">
        <f>_xlfn.COMPOUNDVALUE(428)</f>
        <v>114</v>
      </c>
      <c r="I47" s="118">
        <v>118332</v>
      </c>
      <c r="J47" s="116">
        <v>238</v>
      </c>
      <c r="K47" s="118">
        <v>38682</v>
      </c>
      <c r="L47" s="116">
        <v>3984</v>
      </c>
      <c r="M47" s="118">
        <v>5557305</v>
      </c>
      <c r="N47" s="116">
        <v>3860</v>
      </c>
      <c r="O47" s="142">
        <v>98</v>
      </c>
      <c r="P47" s="142">
        <v>7</v>
      </c>
      <c r="Q47" s="143">
        <v>3965</v>
      </c>
      <c r="R47" s="119" t="s">
        <v>126</v>
      </c>
    </row>
    <row r="48" spans="1:18" ht="15.75" customHeight="1">
      <c r="A48" s="115" t="s">
        <v>127</v>
      </c>
      <c r="B48" s="116">
        <f>_xlfn.COMPOUNDVALUE(429)</f>
        <v>1181</v>
      </c>
      <c r="C48" s="117">
        <v>2379379</v>
      </c>
      <c r="D48" s="116">
        <f>_xlfn.COMPOUNDVALUE(430)</f>
        <v>1077</v>
      </c>
      <c r="E48" s="117">
        <v>286538</v>
      </c>
      <c r="F48" s="116">
        <f>_xlfn.COMPOUNDVALUE(431)</f>
        <v>2258</v>
      </c>
      <c r="G48" s="117">
        <v>2665916</v>
      </c>
      <c r="H48" s="116">
        <f>_xlfn.COMPOUNDVALUE(432)</f>
        <v>110</v>
      </c>
      <c r="I48" s="118">
        <v>152236</v>
      </c>
      <c r="J48" s="116">
        <v>114</v>
      </c>
      <c r="K48" s="118">
        <v>9974</v>
      </c>
      <c r="L48" s="116">
        <v>2388</v>
      </c>
      <c r="M48" s="118">
        <v>2523653</v>
      </c>
      <c r="N48" s="116">
        <v>2379</v>
      </c>
      <c r="O48" s="142">
        <v>55</v>
      </c>
      <c r="P48" s="142">
        <v>1</v>
      </c>
      <c r="Q48" s="143">
        <v>2435</v>
      </c>
      <c r="R48" s="119" t="s">
        <v>128</v>
      </c>
    </row>
    <row r="49" spans="1:18" s="114" customFormat="1" ht="15.75" customHeight="1">
      <c r="A49" s="148" t="s">
        <v>129</v>
      </c>
      <c r="B49" s="149">
        <v>20647</v>
      </c>
      <c r="C49" s="150">
        <v>54408271</v>
      </c>
      <c r="D49" s="149">
        <v>15825</v>
      </c>
      <c r="E49" s="150">
        <v>4514397</v>
      </c>
      <c r="F49" s="149">
        <v>36472</v>
      </c>
      <c r="G49" s="150">
        <v>58922668</v>
      </c>
      <c r="H49" s="149">
        <v>1351</v>
      </c>
      <c r="I49" s="151">
        <v>1945151</v>
      </c>
      <c r="J49" s="149">
        <v>1861</v>
      </c>
      <c r="K49" s="151">
        <v>176496</v>
      </c>
      <c r="L49" s="149">
        <v>38225</v>
      </c>
      <c r="M49" s="151">
        <v>57154012</v>
      </c>
      <c r="N49" s="149">
        <v>38156</v>
      </c>
      <c r="O49" s="164">
        <v>823</v>
      </c>
      <c r="P49" s="164">
        <v>87</v>
      </c>
      <c r="Q49" s="165">
        <v>39066</v>
      </c>
      <c r="R49" s="152" t="s">
        <v>130</v>
      </c>
    </row>
    <row r="50" spans="1:18" s="135" customFormat="1" ht="15.75" customHeight="1" thickBot="1">
      <c r="A50" s="158"/>
      <c r="B50" s="159"/>
      <c r="C50" s="160"/>
      <c r="D50" s="159"/>
      <c r="E50" s="160"/>
      <c r="F50" s="161"/>
      <c r="G50" s="160"/>
      <c r="H50" s="161"/>
      <c r="I50" s="160"/>
      <c r="J50" s="161"/>
      <c r="K50" s="160"/>
      <c r="L50" s="161"/>
      <c r="M50" s="160"/>
      <c r="N50" s="161"/>
      <c r="O50" s="169"/>
      <c r="P50" s="169"/>
      <c r="Q50" s="170"/>
      <c r="R50" s="162"/>
    </row>
    <row r="51" spans="1:18" ht="15.75" customHeight="1" thickBot="1" thickTop="1">
      <c r="A51" s="121" t="s">
        <v>132</v>
      </c>
      <c r="B51" s="122">
        <v>71637</v>
      </c>
      <c r="C51" s="123">
        <v>189567946</v>
      </c>
      <c r="D51" s="122">
        <v>60046</v>
      </c>
      <c r="E51" s="123">
        <v>16880944</v>
      </c>
      <c r="F51" s="122">
        <v>131683</v>
      </c>
      <c r="G51" s="123">
        <v>206448890</v>
      </c>
      <c r="H51" s="122">
        <v>4178</v>
      </c>
      <c r="I51" s="124">
        <v>8186842</v>
      </c>
      <c r="J51" s="122">
        <v>6778</v>
      </c>
      <c r="K51" s="124">
        <v>647330</v>
      </c>
      <c r="L51" s="122">
        <v>137447</v>
      </c>
      <c r="M51" s="124">
        <v>198909378</v>
      </c>
      <c r="N51" s="144">
        <v>137179</v>
      </c>
      <c r="O51" s="145">
        <v>2834</v>
      </c>
      <c r="P51" s="145">
        <v>279</v>
      </c>
      <c r="Q51" s="146">
        <v>140292</v>
      </c>
      <c r="R51" s="147" t="s">
        <v>132</v>
      </c>
    </row>
    <row r="52" spans="1:18" s="135" customFormat="1" ht="3.75" customHeight="1">
      <c r="A52" s="126"/>
      <c r="B52" s="127"/>
      <c r="C52" s="127"/>
      <c r="D52" s="127"/>
      <c r="E52" s="127"/>
      <c r="F52" s="127"/>
      <c r="G52" s="127"/>
      <c r="H52" s="127"/>
      <c r="I52" s="127"/>
      <c r="J52" s="127"/>
      <c r="K52" s="127"/>
      <c r="L52" s="127"/>
      <c r="M52" s="127"/>
      <c r="N52" s="127"/>
      <c r="O52" s="127"/>
      <c r="P52" s="127"/>
      <c r="Q52" s="127"/>
      <c r="R52" s="126"/>
    </row>
    <row r="53" spans="1:9" ht="13.5">
      <c r="A53" s="224" t="s">
        <v>158</v>
      </c>
      <c r="B53" s="224"/>
      <c r="C53" s="224"/>
      <c r="D53" s="224"/>
      <c r="E53" s="224"/>
      <c r="F53" s="224"/>
      <c r="G53" s="224"/>
      <c r="H53" s="224"/>
      <c r="I53" s="224"/>
    </row>
  </sheetData>
  <sheetProtection/>
  <mergeCells count="16">
    <mergeCell ref="A53:I53"/>
    <mergeCell ref="N3:Q3"/>
    <mergeCell ref="R3:R5"/>
    <mergeCell ref="B4:C4"/>
    <mergeCell ref="D4:E4"/>
    <mergeCell ref="F4:G4"/>
    <mergeCell ref="N4:N5"/>
    <mergeCell ref="O4:O5"/>
    <mergeCell ref="P4:P5"/>
    <mergeCell ref="Q4:Q5"/>
    <mergeCell ref="A2:I2"/>
    <mergeCell ref="A3:A5"/>
    <mergeCell ref="B3:G3"/>
    <mergeCell ref="H3:I4"/>
    <mergeCell ref="J3:K4"/>
    <mergeCell ref="L3:M4"/>
  </mergeCells>
  <printOptions/>
  <pageMargins left="0.7874015748031497" right="0.6299212598425197" top="0.984251968503937" bottom="0.984251968503937" header="0.5118110236220472" footer="0.5118110236220472"/>
  <pageSetup horizontalDpi="600" verticalDpi="600" orientation="landscape" paperSize="9" scale="65" r:id="rId1"/>
  <headerFooter alignWithMargins="0">
    <oddFooter>&amp;R熊本国税局
消費税
（H24）</oddFooter>
  </headerFooter>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2014-06-13T00:50:33Z</cp:lastPrinted>
  <dcterms:created xsi:type="dcterms:W3CDTF">2003-07-09T01:05:10Z</dcterms:created>
  <dcterms:modified xsi:type="dcterms:W3CDTF">2014-06-13T00:51:13Z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