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80" tabRatio="829"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 name="_xlnm.Print_Area" localSheetId="3">'(4)税務署別(個人事業者）'!$A$1:$N$83</definedName>
    <definedName name="_xlnm.Print_Area" localSheetId="5">'(4)税務署別（合計）'!$A$1:$R$83</definedName>
    <definedName name="_xlnm.Print_Titles" localSheetId="3">'(4)税務署別(個人事業者）'!$3:$6</definedName>
    <definedName name="_xlnm.Print_Titles" localSheetId="5">'(4)税務署別（合計）'!$3:$6</definedName>
    <definedName name="_xlnm.Print_Titles" localSheetId="4">'(4)税務署別（法人）'!$3:$6</definedName>
  </definedNames>
  <calcPr fullCalcOnLoad="1"/>
</workbook>
</file>

<file path=xl/sharedStrings.xml><?xml version="1.0" encoding="utf-8"?>
<sst xmlns="http://schemas.openxmlformats.org/spreadsheetml/2006/main" count="623" uniqueCount="170">
  <si>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</si>
  <si>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</si>
  <si>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</si>
  <si>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</si>
  <si>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</si>
  <si>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</si>
  <si>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</si>
  <si>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</si>
  <si>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</si>
  <si>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</si>
  <si>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</si>
  <si>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</si>
  <si>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</si>
  <si>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</si>
  <si>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</si>
  <si>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</si>
  <si>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一般申告及び処理</t>
  </si>
  <si>
    <t>法　　　　　　　人</t>
  </si>
  <si>
    <t>合　　　　　　　計</t>
  </si>
  <si>
    <t>件　　数</t>
  </si>
  <si>
    <t>税　　額</t>
  </si>
  <si>
    <t>(3)　課税事業者等届出件数</t>
  </si>
  <si>
    <t>千円</t>
  </si>
  <si>
    <t>件</t>
  </si>
  <si>
    <t>(2)　課税状況の累年比較</t>
  </si>
  <si>
    <t>合計</t>
  </si>
  <si>
    <t>　イ　個人事業者</t>
  </si>
  <si>
    <t>税務署名</t>
  </si>
  <si>
    <t>納　　　税　　　申　　　告　　　及　　　び　　　処　　　理</t>
  </si>
  <si>
    <t>既往年分の
申告及び処理</t>
  </si>
  <si>
    <t>合　　　　　　計</t>
  </si>
  <si>
    <t>税務署名</t>
  </si>
  <si>
    <t>簡易申告及び処理</t>
  </si>
  <si>
    <t>小　　　　　　計</t>
  </si>
  <si>
    <t>件　数</t>
  </si>
  <si>
    <t>税額</t>
  </si>
  <si>
    <t>税　額　①</t>
  </si>
  <si>
    <t>税　額　②</t>
  </si>
  <si>
    <t>税　額　③</t>
  </si>
  <si>
    <t>税　　　額
(①－②＋③)</t>
  </si>
  <si>
    <t>水戸</t>
  </si>
  <si>
    <t>日立</t>
  </si>
  <si>
    <t>土浦</t>
  </si>
  <si>
    <t>古河</t>
  </si>
  <si>
    <t>下館</t>
  </si>
  <si>
    <t>竜ケ崎</t>
  </si>
  <si>
    <t>竜ケ崎</t>
  </si>
  <si>
    <t>太田</t>
  </si>
  <si>
    <t>潮来</t>
  </si>
  <si>
    <t>茨城県計</t>
  </si>
  <si>
    <t>茨城県計</t>
  </si>
  <si>
    <t>宇都宮</t>
  </si>
  <si>
    <t>足利</t>
  </si>
  <si>
    <t>栃木</t>
  </si>
  <si>
    <t>佐野</t>
  </si>
  <si>
    <t>鹿沼</t>
  </si>
  <si>
    <t>真岡</t>
  </si>
  <si>
    <t>大田原</t>
  </si>
  <si>
    <t>氏家</t>
  </si>
  <si>
    <t>栃木県計</t>
  </si>
  <si>
    <t>栃木県計</t>
  </si>
  <si>
    <t>前橋</t>
  </si>
  <si>
    <t>高崎</t>
  </si>
  <si>
    <t>桐生</t>
  </si>
  <si>
    <t>伊勢崎</t>
  </si>
  <si>
    <t>沼田</t>
  </si>
  <si>
    <t>館林</t>
  </si>
  <si>
    <t>藤岡</t>
  </si>
  <si>
    <t>富岡</t>
  </si>
  <si>
    <t>中之条</t>
  </si>
  <si>
    <t>群馬県計</t>
  </si>
  <si>
    <t>群馬県計</t>
  </si>
  <si>
    <t>川越</t>
  </si>
  <si>
    <t>熊谷</t>
  </si>
  <si>
    <t>川口</t>
  </si>
  <si>
    <t>西川口</t>
  </si>
  <si>
    <t>浦和</t>
  </si>
  <si>
    <t>大宮</t>
  </si>
  <si>
    <t>行田</t>
  </si>
  <si>
    <t>秩父</t>
  </si>
  <si>
    <t>所沢</t>
  </si>
  <si>
    <t>本庄</t>
  </si>
  <si>
    <t>東松山</t>
  </si>
  <si>
    <t>春日部</t>
  </si>
  <si>
    <t>上尾</t>
  </si>
  <si>
    <t>越谷</t>
  </si>
  <si>
    <t>朝霞</t>
  </si>
  <si>
    <t>埼玉県計</t>
  </si>
  <si>
    <t>埼玉県計</t>
  </si>
  <si>
    <t>新潟</t>
  </si>
  <si>
    <t>新津</t>
  </si>
  <si>
    <t>巻</t>
  </si>
  <si>
    <t>長岡</t>
  </si>
  <si>
    <t>三条</t>
  </si>
  <si>
    <t>柏崎</t>
  </si>
  <si>
    <t>新発田</t>
  </si>
  <si>
    <t>小千谷</t>
  </si>
  <si>
    <t>十日町</t>
  </si>
  <si>
    <t>村上</t>
  </si>
  <si>
    <t>糸魚川</t>
  </si>
  <si>
    <t>高田</t>
  </si>
  <si>
    <t>佐渡</t>
  </si>
  <si>
    <t>佐渡</t>
  </si>
  <si>
    <t>新潟県計</t>
  </si>
  <si>
    <t>新潟県計</t>
  </si>
  <si>
    <t>長野</t>
  </si>
  <si>
    <t>松本</t>
  </si>
  <si>
    <t>上田</t>
  </si>
  <si>
    <t>飯田</t>
  </si>
  <si>
    <t>諏訪</t>
  </si>
  <si>
    <t>伊那</t>
  </si>
  <si>
    <t>信濃中野</t>
  </si>
  <si>
    <t>大町</t>
  </si>
  <si>
    <t>佐久</t>
  </si>
  <si>
    <t>木曽</t>
  </si>
  <si>
    <t>長野県計</t>
  </si>
  <si>
    <t>長野県計</t>
  </si>
  <si>
    <t>総　計</t>
  </si>
  <si>
    <t>総　計</t>
  </si>
  <si>
    <t>　ロ　法　　　人</t>
  </si>
  <si>
    <t>税務署名</t>
  </si>
  <si>
    <t>　ハ　個人事業者と法人の合計</t>
  </si>
  <si>
    <t>課　税　事　業　者　等　届　出　件　数</t>
  </si>
  <si>
    <t>課税事業者
届出</t>
  </si>
  <si>
    <t>課税事業者
選択届出</t>
  </si>
  <si>
    <t>新設法人に
該当する旨
の届出</t>
  </si>
  <si>
    <t>合　　　計</t>
  </si>
  <si>
    <t>件 数</t>
  </si>
  <si>
    <t>税 額</t>
  </si>
  <si>
    <t>税　　額
(①－②＋③)</t>
  </si>
  <si>
    <t>茨城県計</t>
  </si>
  <si>
    <t/>
  </si>
  <si>
    <t>調査対象等：</t>
  </si>
  <si>
    <t>(1)　課税状況</t>
  </si>
  <si>
    <t>個　人　事　業　者</t>
  </si>
  <si>
    <t>法　　　　　人</t>
  </si>
  <si>
    <t>合　　　　　計</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</si>
  <si>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</si>
  <si>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</si>
  <si>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</si>
  <si>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</si>
  <si>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</si>
  <si>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</si>
  <si>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</si>
  <si>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</si>
  <si>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茨城県計</t>
  </si>
  <si>
    <t>栃木県計</t>
  </si>
  <si>
    <t>群馬県計</t>
  </si>
  <si>
    <t>埼玉県計</t>
  </si>
  <si>
    <t>佐渡</t>
  </si>
  <si>
    <t>新潟県計</t>
  </si>
  <si>
    <t>長野県計</t>
  </si>
  <si>
    <t>総　計</t>
  </si>
  <si>
    <t>（注）１　税関分は含まない。</t>
  </si>
  <si>
    <t>（注）この表は「(1)　課税状況」の現年分及び既往年分を税務署別に示したものである（加算税を除く。）。</t>
  </si>
  <si>
    <t>（注）この表は「(1)　課税状況」の現年分及び既往年分並びに「(3)　課税事業者等届出件数」を税務署別に示したものである（加算税を除く。）。</t>
  </si>
  <si>
    <t>実件</t>
  </si>
  <si>
    <t>(4)　税務署別課税状況等</t>
  </si>
  <si>
    <t>(4)　税務署別課税状況等（続）</t>
  </si>
  <si>
    <t>　　　２　「件数」欄の「実」は、実件数を示す。</t>
  </si>
  <si>
    <t>　「現年分」は、平成30年４月１日から平成31年３月31日までに終了した課税期間について、令和元年６月30日現在の申告（国・地方公共団体等については令和元年９月30日までの申告を含む。）及び処理（更正、決定等）による課税事績を「申告書及び決議書」に基づいて作成した。</t>
  </si>
  <si>
    <t>　「既往年分」は、平成30年３月31日以前に終了した課税期間について、平成30年７月１日から令和元年６月30日までの間の申告（平成30年７月１日から同年９月30日までの間の国・地方公共団体等に係る申告を除く。）及び処理（更正、決定等）による課税事績を「申告書及び決議書」に基づいて作成した。</t>
  </si>
  <si>
    <t>調査対象等：平成30年度末（平成31年３月31日現在）の届出件数を示している。</t>
  </si>
  <si>
    <t>平成26年度</t>
  </si>
  <si>
    <t>平成27年度</t>
  </si>
  <si>
    <t>平成28年度</t>
  </si>
  <si>
    <t>平成29年度</t>
  </si>
  <si>
    <t>平成30年度</t>
  </si>
  <si>
    <t>実</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</si>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</sst>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54">
    <font>
      <sz val="11"/>
      <name val="ＭＳ Ｐゴシック"/>
      <family val="3"/>
    </font>
    <font>
      <sz val="11"/>
      <color indexed="8"/>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Ｐゴシック"/>
      <family val="3"/>
    </font>
    <font>
      <sz val="11"/>
      <name val="ＭＳ ゴシック"/>
      <family val="3"/>
    </font>
    <font>
      <u val="single"/>
      <sz val="16.5"/>
      <color indexed="12"/>
      <name val="ＭＳ Ｐゴシック"/>
      <family val="3"/>
    </font>
    <font>
      <b/>
      <sz val="9"/>
      <name val="ＭＳ 明朝"/>
      <family val="1"/>
    </font>
    <font>
      <b/>
      <sz val="11"/>
      <name val="ＭＳ ゴシック"/>
      <family val="3"/>
    </font>
    <font>
      <sz val="8.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ＭＳ ゴシック"/>
      <family val="3"/>
    </font>
    <font>
      <b/>
      <sz val="9"/>
      <color indexed="8"/>
      <name val="ＭＳ 明朝"/>
      <family val="1"/>
    </font>
    <font>
      <sz val="8.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9"/>
      <color theme="1"/>
      <name val="ＭＳ ゴシック"/>
      <family val="3"/>
    </font>
    <font>
      <b/>
      <sz val="9"/>
      <color theme="1"/>
      <name val="ＭＳ 明朝"/>
      <family val="1"/>
    </font>
    <font>
      <sz val="8.5"/>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border>
    <border>
      <left/>
      <right style="thin"/>
      <top style="thin"/>
      <bottom/>
    </border>
    <border>
      <left/>
      <right style="medium"/>
      <top style="thin"/>
      <bottom/>
    </border>
    <border>
      <left style="thin"/>
      <right style="hair"/>
      <top style="thin"/>
      <bottom/>
    </border>
    <border>
      <left style="medium"/>
      <right style="thin"/>
      <top style="medium"/>
      <bottom/>
    </border>
    <border>
      <left style="thin"/>
      <right style="thin"/>
      <top style="medium"/>
      <bottom/>
    </border>
    <border>
      <left style="thin"/>
      <right/>
      <top style="medium"/>
      <bottom/>
    </border>
    <border>
      <left style="hair"/>
      <right style="medium"/>
      <top style="thin"/>
      <bottom/>
    </border>
    <border>
      <left style="thin"/>
      <right style="hair"/>
      <top/>
      <bottom/>
    </border>
    <border>
      <left style="thin"/>
      <right style="hair"/>
      <top/>
      <bottom style="medium"/>
    </border>
    <border>
      <left style="hair"/>
      <right style="thin"/>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thin"/>
      <right style="hair"/>
      <top style="thin"/>
      <bottom style="thin"/>
    </border>
    <border>
      <left style="hair"/>
      <right style="thin"/>
      <top style="hair">
        <color indexed="55"/>
      </top>
      <bottom style="medium"/>
    </border>
    <border>
      <left style="hair"/>
      <right style="hair"/>
      <top style="thin"/>
      <bottom/>
    </border>
    <border>
      <left style="hair"/>
      <right style="thin"/>
      <top/>
      <bottom style="hair">
        <color indexed="55"/>
      </bottom>
    </border>
    <border>
      <left style="medium"/>
      <right/>
      <top style="thin"/>
      <bottom/>
    </border>
    <border>
      <left style="medium"/>
      <right style="thin"/>
      <top style="thin"/>
      <bottom/>
    </border>
    <border>
      <left style="thin"/>
      <right style="thin"/>
      <top style="thin"/>
      <bottom/>
    </border>
    <border>
      <left style="thin"/>
      <right/>
      <top style="thin"/>
      <bottom/>
    </border>
    <border>
      <left style="thin"/>
      <right style="medium"/>
      <top style="thin"/>
      <bottom/>
    </border>
    <border>
      <left style="thin"/>
      <right style="medium"/>
      <top style="medium"/>
      <bottom/>
    </border>
    <border>
      <left style="thin"/>
      <right style="hair"/>
      <top style="hair"/>
      <bottom style="thin"/>
    </border>
    <border>
      <left style="hair"/>
      <right style="thin"/>
      <top style="hair"/>
      <bottom style="thin"/>
    </border>
    <border>
      <left style="hair"/>
      <right/>
      <top style="hair"/>
      <bottom style="thin"/>
    </border>
    <border>
      <left style="hair"/>
      <right/>
      <top style="thin"/>
      <bottom/>
    </border>
    <border>
      <left style="medium"/>
      <right/>
      <top/>
      <bottom style="hair">
        <color indexed="55"/>
      </bottom>
    </border>
    <border>
      <left style="thin"/>
      <right style="medium"/>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medium"/>
      <top style="hair">
        <color indexed="55"/>
      </top>
      <bottom style="thin">
        <color indexed="55"/>
      </bottom>
    </border>
    <border>
      <left style="medium"/>
      <right/>
      <top style="thin">
        <color indexed="55"/>
      </top>
      <bottom style="thin">
        <color indexed="55"/>
      </bottom>
    </border>
    <border>
      <left style="thin"/>
      <right style="medium"/>
      <top style="thin">
        <color indexed="55"/>
      </top>
      <bottom style="thin">
        <color indexed="55"/>
      </bottom>
    </border>
    <border>
      <left style="thin"/>
      <right style="medium"/>
      <top style="thin">
        <color indexed="55"/>
      </top>
      <bottom style="hair">
        <color indexed="55"/>
      </bottom>
    </border>
    <border>
      <left style="medium"/>
      <right/>
      <top/>
      <bottom style="double"/>
    </border>
    <border>
      <left style="thin"/>
      <right style="medium"/>
      <top/>
      <bottom style="double"/>
    </border>
    <border>
      <left style="medium"/>
      <right/>
      <top/>
      <bottom style="medium"/>
    </border>
    <border>
      <left style="thin"/>
      <right style="medium"/>
      <top/>
      <bottom style="medium"/>
    </border>
    <border>
      <left style="thin"/>
      <right style="medium"/>
      <top style="thin">
        <color indexed="23"/>
      </top>
      <bottom style="thin">
        <color indexed="23"/>
      </bottom>
    </border>
    <border>
      <left style="thin"/>
      <right style="medium"/>
      <top style="thin">
        <color indexed="23"/>
      </top>
      <bottom/>
    </border>
    <border>
      <left style="thin"/>
      <right style="medium"/>
      <top style="double"/>
      <bottom style="medium"/>
    </border>
    <border>
      <left style="thin"/>
      <right style="hair"/>
      <top/>
      <bottom style="hair">
        <color indexed="55"/>
      </botto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thin"/>
      <right/>
      <top style="thin">
        <color indexed="55"/>
      </top>
      <bottom style="hair"/>
    </border>
    <border>
      <left style="hair"/>
      <right style="thin"/>
      <top style="thin">
        <color indexed="55"/>
      </top>
      <bottom style="hair"/>
    </border>
    <border>
      <left style="thin"/>
      <right style="hair"/>
      <top style="thin">
        <color indexed="55"/>
      </top>
      <bottom style="hair"/>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hair"/>
      <right style="thin"/>
      <top/>
      <bottom style="medium"/>
    </border>
    <border>
      <left style="hair"/>
      <right/>
      <top/>
      <bottom style="medium"/>
    </border>
    <border>
      <left style="hair"/>
      <right style="hair"/>
      <top/>
      <bottom style="hair">
        <color indexed="55"/>
      </bottom>
    </border>
    <border>
      <left style="hair"/>
      <right style="hair"/>
      <top style="hair">
        <color indexed="55"/>
      </top>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top style="thin">
        <color indexed="55"/>
      </top>
      <bottom style="thin">
        <color indexed="55"/>
      </bottom>
    </border>
    <border>
      <left style="thin"/>
      <right style="hair"/>
      <top style="thin">
        <color indexed="55"/>
      </top>
      <bottom/>
    </border>
    <border>
      <left style="hair"/>
      <right style="hair"/>
      <top style="thin">
        <color indexed="55"/>
      </top>
      <bottom/>
    </border>
    <border>
      <left style="hair"/>
      <right/>
      <top style="thin">
        <color indexed="55"/>
      </top>
      <bottom/>
    </border>
    <border>
      <left style="thin"/>
      <right style="hair"/>
      <top style="double"/>
      <bottom style="medium"/>
    </border>
    <border>
      <left style="hair"/>
      <right style="hair"/>
      <top style="double"/>
      <bottom style="medium"/>
    </border>
    <border>
      <left style="hair"/>
      <right/>
      <top style="double"/>
      <bottom style="medium"/>
    </border>
    <border>
      <left style="medium"/>
      <right style="thin"/>
      <top/>
      <bottom style="medium"/>
    </border>
    <border>
      <left style="thin"/>
      <right style="thin"/>
      <top/>
      <bottom style="medium"/>
    </border>
    <border>
      <left style="thin"/>
      <right/>
      <top/>
      <bottom style="medium"/>
    </border>
    <border>
      <left style="hair"/>
      <right style="medium"/>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border>
    <border>
      <left style="hair"/>
      <right style="thin"/>
      <top style="hair">
        <color indexed="55"/>
      </top>
      <bottom/>
    </border>
    <border>
      <left style="hair"/>
      <right style="medium"/>
      <top style="hair">
        <color indexed="55"/>
      </top>
      <bottom/>
    </border>
    <border>
      <left style="hair"/>
      <right style="hair"/>
      <top style="thin"/>
      <bottom style="hair">
        <color indexed="55"/>
      </bottom>
    </border>
    <border>
      <left style="hair"/>
      <right style="medium"/>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bottom style="medium"/>
    </border>
    <border>
      <left style="hair"/>
      <right style="medium"/>
      <top/>
      <bottom style="medium"/>
    </border>
    <border>
      <left style="thin"/>
      <right style="hair"/>
      <top style="hair">
        <color indexed="55"/>
      </top>
      <bottom style="thin"/>
    </border>
    <border>
      <left style="hair"/>
      <right style="medium"/>
      <top style="hair">
        <color indexed="55"/>
      </top>
      <bottom style="thin"/>
    </border>
    <border>
      <left style="thin"/>
      <right style="hair"/>
      <top style="thin"/>
      <bottom style="hair">
        <color indexed="55"/>
      </bottom>
    </border>
    <border>
      <left style="thin"/>
      <right style="hair"/>
      <top style="hair">
        <color indexed="55"/>
      </top>
      <bottom style="medium"/>
    </border>
    <border>
      <left style="hair"/>
      <right style="medium"/>
      <top style="hair">
        <color indexed="55"/>
      </top>
      <bottom style="medium"/>
    </border>
    <border>
      <left style="medium"/>
      <right style="hair"/>
      <top/>
      <bottom/>
    </border>
    <border>
      <left style="medium"/>
      <right style="hair"/>
      <top/>
      <bottom style="thin"/>
    </border>
    <border>
      <left style="medium"/>
      <right style="hair"/>
      <top style="thin"/>
      <bottom style="hair"/>
    </border>
    <border>
      <left style="medium"/>
      <right style="hair"/>
      <top style="hair"/>
      <bottom style="hair"/>
    </border>
    <border>
      <left style="medium"/>
      <right/>
      <top style="thin"/>
      <bottom style="thin"/>
    </border>
    <border>
      <left/>
      <right style="thin"/>
      <top style="thin"/>
      <bottom style="thin"/>
    </border>
    <border>
      <left/>
      <right style="thin"/>
      <top/>
      <bottom style="medium"/>
    </border>
    <border>
      <left style="medium"/>
      <right/>
      <top style="medium"/>
      <bottom/>
    </border>
    <border>
      <left/>
      <right style="thin"/>
      <top style="medium"/>
      <bottom/>
    </border>
    <border>
      <left style="medium"/>
      <right/>
      <top/>
      <bottom/>
    </border>
    <border>
      <left/>
      <right style="thin"/>
      <top/>
      <botto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thin"/>
      <right style="thin"/>
      <top style="medium"/>
      <bottom style="thin"/>
    </border>
    <border>
      <left/>
      <right/>
      <top style="medium"/>
      <bottom/>
    </border>
    <border>
      <left/>
      <right style="medium"/>
      <top style="medium"/>
      <bottom/>
    </border>
    <border>
      <left style="medium"/>
      <right style="hair"/>
      <top style="thin"/>
      <bottom/>
    </border>
    <border>
      <left style="medium"/>
      <right style="hair"/>
      <top/>
      <bottom style="medium"/>
    </border>
    <border>
      <left style="medium"/>
      <right/>
      <top/>
      <bottom style="thin"/>
    </border>
    <border>
      <left style="thin"/>
      <right style="thin"/>
      <top style="medium"/>
      <bottom style="hair"/>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thin"/>
      <right style="medium"/>
      <top/>
      <bottom/>
    </border>
    <border>
      <left style="thin"/>
      <right style="medium"/>
      <top/>
      <bottom style="thin"/>
    </border>
    <border>
      <left style="thin"/>
      <right style="thin"/>
      <top style="hair"/>
      <bottom style="hair"/>
    </border>
    <border>
      <left style="hair"/>
      <right style="thin"/>
      <top style="hair"/>
      <bottom style="hair"/>
    </border>
    <border>
      <left/>
      <right/>
      <top/>
      <bottom style="medium"/>
    </border>
    <border>
      <left style="thin"/>
      <right/>
      <top style="medium"/>
      <bottom style="hair"/>
    </border>
    <border>
      <left/>
      <right/>
      <top style="medium"/>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33" fillId="0" borderId="0">
      <alignment vertical="center"/>
      <protection/>
    </xf>
    <xf numFmtId="0" fontId="49" fillId="32" borderId="0" applyNumberFormat="0" applyBorder="0" applyAlignment="0" applyProtection="0"/>
  </cellStyleXfs>
  <cellXfs count="241">
    <xf numFmtId="0" fontId="0" fillId="0" borderId="0" xfId="0" applyAlignment="1">
      <alignment/>
    </xf>
    <xf numFmtId="0" fontId="3" fillId="0" borderId="0" xfId="0" applyFont="1" applyAlignment="1">
      <alignment horizontal="left" vertical="top"/>
    </xf>
    <xf numFmtId="3" fontId="3" fillId="0" borderId="0" xfId="0" applyNumberFormat="1" applyFont="1" applyAlignment="1">
      <alignment horizontal="left" vertical="top"/>
    </xf>
    <xf numFmtId="0" fontId="5" fillId="0" borderId="0" xfId="0" applyFont="1" applyAlignment="1">
      <alignment horizontal="left" vertical="top"/>
    </xf>
    <xf numFmtId="0" fontId="3" fillId="0" borderId="0" xfId="0" applyFont="1" applyAlignment="1">
      <alignment horizontal="left" vertical="center"/>
    </xf>
    <xf numFmtId="3" fontId="3" fillId="0" borderId="0" xfId="0" applyNumberFormat="1" applyFont="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left"/>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right" vertical="center"/>
    </xf>
    <xf numFmtId="0" fontId="5" fillId="0" borderId="18" xfId="0" applyFont="1" applyBorder="1" applyAlignment="1">
      <alignment horizontal="right" vertical="center"/>
    </xf>
    <xf numFmtId="0" fontId="3" fillId="0" borderId="19" xfId="0" applyFont="1" applyBorder="1" applyAlignment="1">
      <alignment horizontal="right" vertical="center"/>
    </xf>
    <xf numFmtId="0" fontId="3" fillId="0" borderId="20" xfId="0" applyFont="1" applyBorder="1" applyAlignment="1">
      <alignment horizontal="distributed" vertical="center"/>
    </xf>
    <xf numFmtId="0" fontId="3" fillId="0" borderId="21" xfId="0" applyFont="1" applyBorder="1" applyAlignment="1">
      <alignment horizontal="distributed" vertical="center"/>
    </xf>
    <xf numFmtId="0" fontId="5" fillId="0" borderId="21" xfId="0" applyFont="1" applyBorder="1" applyAlignment="1">
      <alignment horizontal="distributed" vertical="center"/>
    </xf>
    <xf numFmtId="0" fontId="3" fillId="0" borderId="22" xfId="0" applyFont="1" applyBorder="1" applyAlignment="1">
      <alignment horizontal="distributed" vertical="center"/>
    </xf>
    <xf numFmtId="0" fontId="5" fillId="0" borderId="23" xfId="0" applyFont="1" applyBorder="1" applyAlignment="1">
      <alignment horizontal="right" vertical="center"/>
    </xf>
    <xf numFmtId="0" fontId="3" fillId="0" borderId="24" xfId="0" applyFont="1" applyBorder="1" applyAlignment="1">
      <alignment horizontal="distributed" vertical="center"/>
    </xf>
    <xf numFmtId="0" fontId="6" fillId="33" borderId="10" xfId="0" applyFont="1" applyFill="1" applyBorder="1" applyAlignment="1">
      <alignment horizontal="right" vertical="top"/>
    </xf>
    <xf numFmtId="0" fontId="6" fillId="34" borderId="25" xfId="0" applyFont="1" applyFill="1" applyBorder="1" applyAlignment="1">
      <alignment horizontal="right" vertical="top"/>
    </xf>
    <xf numFmtId="0" fontId="3" fillId="0" borderId="18" xfId="0" applyFont="1" applyBorder="1" applyAlignment="1">
      <alignment horizontal="center" vertical="center"/>
    </xf>
    <xf numFmtId="0" fontId="3" fillId="0" borderId="26" xfId="0" applyFont="1" applyBorder="1" applyAlignment="1">
      <alignment horizontal="distributed" vertical="center"/>
    </xf>
    <xf numFmtId="0" fontId="6" fillId="0" borderId="27" xfId="0" applyFont="1" applyFill="1" applyBorder="1" applyAlignment="1">
      <alignment horizontal="center" vertical="center"/>
    </xf>
    <xf numFmtId="0" fontId="6" fillId="0" borderId="13" xfId="0" applyFont="1" applyFill="1" applyBorder="1" applyAlignment="1">
      <alignment horizontal="right" vertical="top"/>
    </xf>
    <xf numFmtId="0" fontId="6" fillId="33" borderId="17" xfId="0" applyFont="1" applyFill="1" applyBorder="1" applyAlignment="1">
      <alignment horizontal="right" vertical="top"/>
    </xf>
    <xf numFmtId="0" fontId="6" fillId="0" borderId="10" xfId="0" applyFont="1" applyFill="1" applyBorder="1" applyAlignment="1">
      <alignment horizontal="center" vertical="center"/>
    </xf>
    <xf numFmtId="0" fontId="3" fillId="0" borderId="27" xfId="0" applyFont="1" applyBorder="1" applyAlignment="1">
      <alignment horizontal="center" vertical="center"/>
    </xf>
    <xf numFmtId="0" fontId="6" fillId="34" borderId="13" xfId="0" applyFont="1" applyFill="1" applyBorder="1" applyAlignment="1">
      <alignment horizontal="right"/>
    </xf>
    <xf numFmtId="0" fontId="6" fillId="33" borderId="10" xfId="0" applyFont="1" applyFill="1" applyBorder="1" applyAlignment="1">
      <alignment horizontal="right"/>
    </xf>
    <xf numFmtId="0" fontId="6" fillId="33" borderId="17" xfId="0" applyFont="1" applyFill="1" applyBorder="1" applyAlignment="1">
      <alignment horizontal="right"/>
    </xf>
    <xf numFmtId="0" fontId="6" fillId="34" borderId="28" xfId="0" applyFont="1" applyFill="1" applyBorder="1" applyAlignment="1">
      <alignment horizontal="right"/>
    </xf>
    <xf numFmtId="0" fontId="6" fillId="34" borderId="29" xfId="0" applyFont="1" applyFill="1" applyBorder="1" applyAlignment="1">
      <alignment horizontal="right"/>
    </xf>
    <xf numFmtId="0" fontId="6" fillId="34" borderId="30" xfId="0" applyFont="1" applyFill="1" applyBorder="1" applyAlignment="1">
      <alignment horizontal="right"/>
    </xf>
    <xf numFmtId="0" fontId="6" fillId="34" borderId="31" xfId="0" applyFont="1" applyFill="1" applyBorder="1" applyAlignment="1">
      <alignment horizontal="right"/>
    </xf>
    <xf numFmtId="0" fontId="4" fillId="0" borderId="0" xfId="0" applyFont="1" applyAlignment="1">
      <alignment horizontal="center" vertical="top"/>
    </xf>
    <xf numFmtId="0" fontId="3" fillId="0" borderId="20" xfId="0" applyFont="1" applyBorder="1" applyAlignment="1">
      <alignment horizontal="distributed" vertical="center" wrapText="1"/>
    </xf>
    <xf numFmtId="0" fontId="3" fillId="0" borderId="21" xfId="0" applyFont="1" applyBorder="1" applyAlignment="1">
      <alignment horizontal="distributed" vertical="center" wrapText="1"/>
    </xf>
    <xf numFmtId="0" fontId="3" fillId="0" borderId="0" xfId="0" applyFont="1" applyBorder="1" applyAlignment="1">
      <alignment horizontal="left" vertical="top"/>
    </xf>
    <xf numFmtId="0" fontId="0" fillId="0" borderId="0" xfId="0" applyFont="1" applyAlignment="1">
      <alignment/>
    </xf>
    <xf numFmtId="0" fontId="3" fillId="0" borderId="0" xfId="0" applyFont="1" applyAlignment="1" quotePrefix="1">
      <alignment horizontal="left" vertical="top"/>
    </xf>
    <xf numFmtId="0" fontId="3" fillId="0" borderId="32" xfId="0" applyFont="1" applyBorder="1" applyAlignment="1">
      <alignment horizontal="distributed" vertical="center" indent="1"/>
    </xf>
    <xf numFmtId="0" fontId="3" fillId="0" borderId="0" xfId="60" applyFont="1" applyAlignment="1">
      <alignment horizontal="left" vertical="center"/>
      <protection/>
    </xf>
    <xf numFmtId="0" fontId="3" fillId="0" borderId="0" xfId="60" applyFont="1" applyAlignment="1">
      <alignment horizontal="left" vertical="top"/>
      <protection/>
    </xf>
    <xf numFmtId="0" fontId="0" fillId="0" borderId="0" xfId="60" applyFont="1">
      <alignment/>
      <protection/>
    </xf>
    <xf numFmtId="0" fontId="3" fillId="0" borderId="33" xfId="60" applyFont="1" applyBorder="1" applyAlignment="1">
      <alignment horizontal="center" vertical="center"/>
      <protection/>
    </xf>
    <xf numFmtId="0" fontId="3" fillId="0" borderId="34" xfId="60" applyFont="1" applyBorder="1" applyAlignment="1">
      <alignment horizontal="distributed" vertical="center" indent="1"/>
      <protection/>
    </xf>
    <xf numFmtId="0" fontId="3" fillId="0" borderId="34" xfId="60" applyFont="1" applyBorder="1" applyAlignment="1">
      <alignment horizontal="center" vertical="center"/>
      <protection/>
    </xf>
    <xf numFmtId="0" fontId="3" fillId="0" borderId="35" xfId="60" applyFont="1" applyBorder="1" applyAlignment="1">
      <alignment horizontal="center" vertical="center"/>
      <protection/>
    </xf>
    <xf numFmtId="0" fontId="3" fillId="0" borderId="35" xfId="60" applyFont="1" applyBorder="1" applyAlignment="1">
      <alignment horizontal="centerContinuous" vertical="center" wrapText="1"/>
      <protection/>
    </xf>
    <xf numFmtId="0" fontId="0" fillId="0" borderId="0" xfId="60" applyFont="1" applyAlignment="1">
      <alignment horizontal="center"/>
      <protection/>
    </xf>
    <xf numFmtId="0" fontId="6" fillId="35" borderId="27" xfId="60" applyFont="1" applyFill="1" applyBorder="1" applyAlignment="1">
      <alignment horizontal="distributed" vertical="top"/>
      <protection/>
    </xf>
    <xf numFmtId="0" fontId="6" fillId="34" borderId="13" xfId="60" applyFont="1" applyFill="1" applyBorder="1" applyAlignment="1">
      <alignment horizontal="right" vertical="top"/>
      <protection/>
    </xf>
    <xf numFmtId="0" fontId="6" fillId="33" borderId="10" xfId="60" applyFont="1" applyFill="1" applyBorder="1" applyAlignment="1">
      <alignment horizontal="right" vertical="top"/>
      <protection/>
    </xf>
    <xf numFmtId="0" fontId="6" fillId="33" borderId="36" xfId="60" applyFont="1" applyFill="1" applyBorder="1" applyAlignment="1">
      <alignment horizontal="right" vertical="top"/>
      <protection/>
    </xf>
    <xf numFmtId="0" fontId="6" fillId="35" borderId="31" xfId="60" applyFont="1" applyFill="1" applyBorder="1" applyAlignment="1">
      <alignment horizontal="distributed" vertical="top"/>
      <protection/>
    </xf>
    <xf numFmtId="0" fontId="7" fillId="0" borderId="0" xfId="60" applyFont="1" applyAlignment="1">
      <alignment horizontal="right" vertical="top"/>
      <protection/>
    </xf>
    <xf numFmtId="0" fontId="3" fillId="36" borderId="37" xfId="60" applyFont="1" applyFill="1" applyBorder="1" applyAlignment="1">
      <alignment horizontal="distributed" vertical="center"/>
      <protection/>
    </xf>
    <xf numFmtId="0" fontId="3" fillId="36" borderId="38" xfId="60" applyFont="1" applyFill="1" applyBorder="1" applyAlignment="1">
      <alignment horizontal="distributed" vertical="center"/>
      <protection/>
    </xf>
    <xf numFmtId="0" fontId="8" fillId="0" borderId="0" xfId="60" applyFont="1">
      <alignment/>
      <protection/>
    </xf>
    <xf numFmtId="0" fontId="3" fillId="36" borderId="39" xfId="60" applyFont="1" applyFill="1" applyBorder="1" applyAlignment="1">
      <alignment horizontal="distributed" vertical="center"/>
      <protection/>
    </xf>
    <xf numFmtId="0" fontId="3" fillId="36" borderId="40" xfId="60" applyFont="1" applyFill="1" applyBorder="1" applyAlignment="1">
      <alignment horizontal="distributed" vertical="center"/>
      <protection/>
    </xf>
    <xf numFmtId="0" fontId="5" fillId="36" borderId="41" xfId="60" applyFont="1" applyFill="1" applyBorder="1" applyAlignment="1">
      <alignment horizontal="distributed" vertical="center"/>
      <protection/>
    </xf>
    <xf numFmtId="0" fontId="5" fillId="36" borderId="42" xfId="60" applyFont="1" applyFill="1" applyBorder="1" applyAlignment="1">
      <alignment horizontal="distributed" vertical="center"/>
      <protection/>
    </xf>
    <xf numFmtId="0" fontId="10" fillId="0" borderId="43" xfId="60" applyFont="1" applyFill="1" applyBorder="1" applyAlignment="1">
      <alignment horizontal="distributed" vertical="center"/>
      <protection/>
    </xf>
    <xf numFmtId="0" fontId="10" fillId="0" borderId="44" xfId="60" applyFont="1" applyFill="1" applyBorder="1" applyAlignment="1">
      <alignment horizontal="center" vertical="center"/>
      <protection/>
    </xf>
    <xf numFmtId="0" fontId="3" fillId="36" borderId="45" xfId="60" applyFont="1" applyFill="1" applyBorder="1" applyAlignment="1">
      <alignment horizontal="distributed" vertical="center"/>
      <protection/>
    </xf>
    <xf numFmtId="0" fontId="10" fillId="0" borderId="46" xfId="60" applyFont="1" applyFill="1" applyBorder="1" applyAlignment="1">
      <alignment horizontal="distributed" vertical="center"/>
      <protection/>
    </xf>
    <xf numFmtId="0" fontId="10" fillId="0" borderId="47" xfId="60" applyFont="1" applyFill="1" applyBorder="1" applyAlignment="1">
      <alignment horizontal="center" vertical="center"/>
      <protection/>
    </xf>
    <xf numFmtId="0" fontId="11" fillId="0" borderId="0" xfId="60" applyFont="1">
      <alignment/>
      <protection/>
    </xf>
    <xf numFmtId="0" fontId="5" fillId="0" borderId="48" xfId="60" applyFont="1" applyBorder="1" applyAlignment="1">
      <alignment horizontal="center" vertical="center"/>
      <protection/>
    </xf>
    <xf numFmtId="0" fontId="5" fillId="0" borderId="49" xfId="60" applyFont="1" applyBorder="1" applyAlignment="1">
      <alignment horizontal="center" vertical="center"/>
      <protection/>
    </xf>
    <xf numFmtId="0" fontId="3" fillId="0" borderId="0" xfId="60" applyFont="1" applyBorder="1" applyAlignment="1">
      <alignment horizontal="left" vertical="center"/>
      <protection/>
    </xf>
    <xf numFmtId="0" fontId="0" fillId="0" borderId="0" xfId="60" applyFont="1" applyBorder="1">
      <alignment/>
      <protection/>
    </xf>
    <xf numFmtId="0" fontId="7" fillId="0" borderId="0" xfId="60" applyFont="1" applyAlignment="1">
      <alignment vertical="top"/>
      <protection/>
    </xf>
    <xf numFmtId="0" fontId="3" fillId="0" borderId="34" xfId="60" applyFont="1" applyBorder="1" applyAlignment="1">
      <alignment horizontal="center" vertical="center" wrapText="1"/>
      <protection/>
    </xf>
    <xf numFmtId="0" fontId="6" fillId="34" borderId="25" xfId="60" applyFont="1" applyFill="1" applyBorder="1" applyAlignment="1">
      <alignment horizontal="right" vertical="top"/>
      <protection/>
    </xf>
    <xf numFmtId="0" fontId="6" fillId="34" borderId="36" xfId="60" applyFont="1" applyFill="1" applyBorder="1" applyAlignment="1">
      <alignment horizontal="right" vertical="top"/>
      <protection/>
    </xf>
    <xf numFmtId="0" fontId="10" fillId="0" borderId="50" xfId="60" applyFont="1" applyFill="1" applyBorder="1" applyAlignment="1">
      <alignment horizontal="center" vertical="center"/>
      <protection/>
    </xf>
    <xf numFmtId="0" fontId="10" fillId="0" borderId="51" xfId="60" applyFont="1" applyFill="1" applyBorder="1" applyAlignment="1">
      <alignment horizontal="center" vertical="center"/>
      <protection/>
    </xf>
    <xf numFmtId="0" fontId="5" fillId="0" borderId="52" xfId="60" applyFont="1" applyBorder="1" applyAlignment="1">
      <alignment horizontal="center" vertical="center"/>
      <protection/>
    </xf>
    <xf numFmtId="176" fontId="3" fillId="34" borderId="53" xfId="60" applyNumberFormat="1" applyFont="1" applyFill="1" applyBorder="1" applyAlignment="1">
      <alignment horizontal="right" vertical="center"/>
      <protection/>
    </xf>
    <xf numFmtId="176" fontId="3" fillId="33" borderId="26" xfId="60" applyNumberFormat="1" applyFont="1" applyFill="1" applyBorder="1" applyAlignment="1">
      <alignment horizontal="right" vertical="center"/>
      <protection/>
    </xf>
    <xf numFmtId="176" fontId="3" fillId="33" borderId="54" xfId="60" applyNumberFormat="1" applyFont="1" applyFill="1" applyBorder="1" applyAlignment="1">
      <alignment horizontal="right" vertical="center"/>
      <protection/>
    </xf>
    <xf numFmtId="176" fontId="3" fillId="34" borderId="55" xfId="60" applyNumberFormat="1" applyFont="1" applyFill="1" applyBorder="1" applyAlignment="1">
      <alignment horizontal="right" vertical="center"/>
      <protection/>
    </xf>
    <xf numFmtId="176" fontId="3" fillId="33" borderId="21" xfId="60" applyNumberFormat="1" applyFont="1" applyFill="1" applyBorder="1" applyAlignment="1">
      <alignment horizontal="right" vertical="center"/>
      <protection/>
    </xf>
    <xf numFmtId="176" fontId="3" fillId="33" borderId="56" xfId="60" applyNumberFormat="1" applyFont="1" applyFill="1" applyBorder="1" applyAlignment="1">
      <alignment horizontal="right" vertical="center"/>
      <protection/>
    </xf>
    <xf numFmtId="176" fontId="5" fillId="34" borderId="57" xfId="60" applyNumberFormat="1" applyFont="1" applyFill="1" applyBorder="1" applyAlignment="1">
      <alignment horizontal="right" vertical="center"/>
      <protection/>
    </xf>
    <xf numFmtId="176" fontId="5" fillId="33" borderId="58" xfId="60" applyNumberFormat="1" applyFont="1" applyFill="1" applyBorder="1" applyAlignment="1">
      <alignment horizontal="right" vertical="center"/>
      <protection/>
    </xf>
    <xf numFmtId="176" fontId="5" fillId="33" borderId="59" xfId="60" applyNumberFormat="1" applyFont="1" applyFill="1" applyBorder="1" applyAlignment="1">
      <alignment horizontal="right" vertical="center"/>
      <protection/>
    </xf>
    <xf numFmtId="176" fontId="10" fillId="0" borderId="60" xfId="60" applyNumberFormat="1" applyFont="1" applyFill="1" applyBorder="1" applyAlignment="1">
      <alignment horizontal="right" vertical="center"/>
      <protection/>
    </xf>
    <xf numFmtId="176" fontId="10" fillId="0" borderId="61" xfId="60" applyNumberFormat="1" applyFont="1" applyFill="1" applyBorder="1" applyAlignment="1">
      <alignment horizontal="right" vertical="center"/>
      <protection/>
    </xf>
    <xf numFmtId="176" fontId="10" fillId="0" borderId="62" xfId="60" applyNumberFormat="1" applyFont="1" applyFill="1" applyBorder="1" applyAlignment="1">
      <alignment horizontal="right" vertical="center"/>
      <protection/>
    </xf>
    <xf numFmtId="176" fontId="3" fillId="0" borderId="63" xfId="60" applyNumberFormat="1" applyFont="1" applyFill="1" applyBorder="1" applyAlignment="1">
      <alignment horizontal="right" vertical="center"/>
      <protection/>
    </xf>
    <xf numFmtId="176" fontId="3" fillId="0" borderId="64" xfId="60" applyNumberFormat="1" applyFont="1" applyFill="1" applyBorder="1" applyAlignment="1">
      <alignment horizontal="right" vertical="center"/>
      <protection/>
    </xf>
    <xf numFmtId="176" fontId="3" fillId="0" borderId="65" xfId="60" applyNumberFormat="1" applyFont="1" applyFill="1" applyBorder="1" applyAlignment="1">
      <alignment horizontal="right" vertical="center"/>
      <protection/>
    </xf>
    <xf numFmtId="176" fontId="5" fillId="34" borderId="19" xfId="60" applyNumberFormat="1" applyFont="1" applyFill="1" applyBorder="1" applyAlignment="1">
      <alignment horizontal="right" vertical="center"/>
      <protection/>
    </xf>
    <xf numFmtId="176" fontId="5" fillId="33" borderId="66" xfId="60" applyNumberFormat="1" applyFont="1" applyFill="1" applyBorder="1" applyAlignment="1">
      <alignment horizontal="right" vertical="center"/>
      <protection/>
    </xf>
    <xf numFmtId="176" fontId="5" fillId="33" borderId="67" xfId="60" applyNumberFormat="1" applyFont="1" applyFill="1" applyBorder="1" applyAlignment="1">
      <alignment horizontal="right" vertical="center"/>
      <protection/>
    </xf>
    <xf numFmtId="176" fontId="3" fillId="34" borderId="68" xfId="60" applyNumberFormat="1" applyFont="1" applyFill="1" applyBorder="1" applyAlignment="1">
      <alignment horizontal="right" vertical="center"/>
      <protection/>
    </xf>
    <xf numFmtId="176" fontId="3" fillId="34" borderId="54" xfId="60" applyNumberFormat="1" applyFont="1" applyFill="1" applyBorder="1" applyAlignment="1">
      <alignment horizontal="right" vertical="center"/>
      <protection/>
    </xf>
    <xf numFmtId="176" fontId="5" fillId="34" borderId="69" xfId="60" applyNumberFormat="1" applyFont="1" applyFill="1" applyBorder="1" applyAlignment="1">
      <alignment horizontal="right" vertical="center"/>
      <protection/>
    </xf>
    <xf numFmtId="176" fontId="5" fillId="34" borderId="59" xfId="60" applyNumberFormat="1" applyFont="1" applyFill="1" applyBorder="1" applyAlignment="1">
      <alignment horizontal="right" vertical="center"/>
      <protection/>
    </xf>
    <xf numFmtId="176" fontId="3" fillId="0" borderId="70" xfId="60" applyNumberFormat="1" applyFont="1" applyFill="1" applyBorder="1" applyAlignment="1">
      <alignment horizontal="right" vertical="center"/>
      <protection/>
    </xf>
    <xf numFmtId="176" fontId="3" fillId="0" borderId="71" xfId="60" applyNumberFormat="1" applyFont="1" applyFill="1" applyBorder="1" applyAlignment="1">
      <alignment horizontal="right" vertical="center"/>
      <protection/>
    </xf>
    <xf numFmtId="176" fontId="3" fillId="0" borderId="72" xfId="60" applyNumberFormat="1" applyFont="1" applyFill="1" applyBorder="1" applyAlignment="1">
      <alignment horizontal="right" vertical="center"/>
      <protection/>
    </xf>
    <xf numFmtId="176" fontId="3" fillId="0" borderId="73" xfId="60" applyNumberFormat="1" applyFont="1" applyFill="1" applyBorder="1" applyAlignment="1">
      <alignment horizontal="right" vertical="center"/>
      <protection/>
    </xf>
    <xf numFmtId="176" fontId="3" fillId="0" borderId="74" xfId="60" applyNumberFormat="1" applyFont="1" applyFill="1" applyBorder="1" applyAlignment="1">
      <alignment horizontal="right" vertical="center"/>
      <protection/>
    </xf>
    <xf numFmtId="176" fontId="3" fillId="0" borderId="75" xfId="60" applyNumberFormat="1" applyFont="1" applyFill="1" applyBorder="1" applyAlignment="1">
      <alignment horizontal="right" vertical="center"/>
      <protection/>
    </xf>
    <xf numFmtId="176" fontId="5" fillId="34" borderId="76" xfId="60" applyNumberFormat="1" applyFont="1" applyFill="1" applyBorder="1" applyAlignment="1">
      <alignment horizontal="right" vertical="center"/>
      <protection/>
    </xf>
    <xf numFmtId="176" fontId="5" fillId="34" borderId="77" xfId="60" applyNumberFormat="1" applyFont="1" applyFill="1" applyBorder="1" applyAlignment="1">
      <alignment horizontal="right" vertical="center"/>
      <protection/>
    </xf>
    <xf numFmtId="176" fontId="5" fillId="34" borderId="78" xfId="60" applyNumberFormat="1" applyFont="1" applyFill="1" applyBorder="1" applyAlignment="1">
      <alignment horizontal="right" vertical="center"/>
      <protection/>
    </xf>
    <xf numFmtId="176" fontId="5" fillId="33" borderId="66" xfId="60" applyNumberFormat="1" applyFont="1" applyFill="1" applyBorder="1" applyAlignment="1">
      <alignment horizontal="right" vertical="center" shrinkToFit="1"/>
      <protection/>
    </xf>
    <xf numFmtId="3" fontId="3" fillId="34" borderId="79" xfId="0" applyNumberFormat="1" applyFont="1" applyFill="1" applyBorder="1" applyAlignment="1">
      <alignment vertical="center"/>
    </xf>
    <xf numFmtId="3" fontId="3" fillId="34" borderId="80" xfId="0" applyNumberFormat="1" applyFont="1" applyFill="1" applyBorder="1" applyAlignment="1">
      <alignment vertical="center"/>
    </xf>
    <xf numFmtId="3" fontId="3" fillId="34" borderId="81" xfId="0" applyNumberFormat="1" applyFont="1" applyFill="1" applyBorder="1" applyAlignment="1">
      <alignment vertical="center"/>
    </xf>
    <xf numFmtId="3" fontId="3" fillId="34" borderId="49" xfId="0" applyNumberFormat="1" applyFont="1" applyFill="1" applyBorder="1" applyAlignment="1">
      <alignment vertical="center"/>
    </xf>
    <xf numFmtId="3" fontId="50" fillId="34" borderId="68" xfId="0" applyNumberFormat="1" applyFont="1" applyFill="1" applyBorder="1" applyAlignment="1">
      <alignment horizontal="right" vertical="center"/>
    </xf>
    <xf numFmtId="3" fontId="50" fillId="33" borderId="26" xfId="0" applyNumberFormat="1" applyFont="1" applyFill="1" applyBorder="1" applyAlignment="1">
      <alignment horizontal="right" vertical="center"/>
    </xf>
    <xf numFmtId="3" fontId="50" fillId="0" borderId="18" xfId="0" applyNumberFormat="1" applyFont="1" applyBorder="1" applyAlignment="1">
      <alignment horizontal="right" vertical="center"/>
    </xf>
    <xf numFmtId="3" fontId="50" fillId="33" borderId="82" xfId="0" applyNumberFormat="1" applyFont="1" applyFill="1" applyBorder="1" applyAlignment="1">
      <alignment horizontal="right" vertical="center"/>
    </xf>
    <xf numFmtId="3" fontId="50" fillId="34" borderId="83" xfId="0" applyNumberFormat="1" applyFont="1" applyFill="1" applyBorder="1" applyAlignment="1">
      <alignment horizontal="right" vertical="center"/>
    </xf>
    <xf numFmtId="3" fontId="50" fillId="33" borderId="21" xfId="0" applyNumberFormat="1" applyFont="1" applyFill="1" applyBorder="1" applyAlignment="1">
      <alignment horizontal="right" vertical="center"/>
    </xf>
    <xf numFmtId="3" fontId="50" fillId="33" borderId="84" xfId="0" applyNumberFormat="1" applyFont="1" applyFill="1" applyBorder="1" applyAlignment="1">
      <alignment horizontal="right" vertical="center"/>
    </xf>
    <xf numFmtId="3" fontId="51" fillId="34" borderId="83" xfId="0" applyNumberFormat="1" applyFont="1" applyFill="1" applyBorder="1" applyAlignment="1">
      <alignment horizontal="right" vertical="center"/>
    </xf>
    <xf numFmtId="3" fontId="51" fillId="33" borderId="21" xfId="0" applyNumberFormat="1" applyFont="1" applyFill="1" applyBorder="1" applyAlignment="1">
      <alignment horizontal="right" vertical="center"/>
    </xf>
    <xf numFmtId="0" fontId="51" fillId="0" borderId="18" xfId="0" applyFont="1" applyBorder="1" applyAlignment="1">
      <alignment horizontal="right" vertical="center"/>
    </xf>
    <xf numFmtId="3" fontId="51" fillId="33" borderId="84" xfId="0" applyNumberFormat="1" applyFont="1" applyFill="1" applyBorder="1" applyAlignment="1">
      <alignment horizontal="right" vertical="center"/>
    </xf>
    <xf numFmtId="3" fontId="50" fillId="34" borderId="85" xfId="0" applyNumberFormat="1" applyFont="1" applyFill="1" applyBorder="1" applyAlignment="1">
      <alignment horizontal="right" vertical="center"/>
    </xf>
    <xf numFmtId="3" fontId="50" fillId="33" borderId="86" xfId="0" applyNumberFormat="1" applyFont="1" applyFill="1" applyBorder="1" applyAlignment="1">
      <alignment horizontal="right" vertical="center"/>
    </xf>
    <xf numFmtId="0" fontId="50" fillId="0" borderId="18" xfId="0" applyFont="1" applyBorder="1" applyAlignment="1">
      <alignment horizontal="right" vertical="center"/>
    </xf>
    <xf numFmtId="3" fontId="50" fillId="33" borderId="87" xfId="0" applyNumberFormat="1" applyFont="1" applyFill="1" applyBorder="1" applyAlignment="1">
      <alignment horizontal="right" vertical="center"/>
    </xf>
    <xf numFmtId="3" fontId="50" fillId="34" borderId="88" xfId="0" applyNumberFormat="1" applyFont="1" applyFill="1" applyBorder="1" applyAlignment="1">
      <alignment horizontal="right" vertical="center"/>
    </xf>
    <xf numFmtId="3" fontId="50" fillId="33" borderId="20" xfId="0" applyNumberFormat="1" applyFont="1" applyFill="1" applyBorder="1" applyAlignment="1">
      <alignment horizontal="right" vertical="center"/>
    </xf>
    <xf numFmtId="3" fontId="50" fillId="0" borderId="13" xfId="0" applyNumberFormat="1" applyFont="1" applyBorder="1" applyAlignment="1">
      <alignment horizontal="center" vertical="center"/>
    </xf>
    <xf numFmtId="3" fontId="50" fillId="34" borderId="88" xfId="0" applyNumberFormat="1" applyFont="1" applyFill="1" applyBorder="1" applyAlignment="1">
      <alignment vertical="center"/>
    </xf>
    <xf numFmtId="3" fontId="50" fillId="33" borderId="89" xfId="0" applyNumberFormat="1" applyFont="1" applyFill="1" applyBorder="1" applyAlignment="1">
      <alignment horizontal="right" vertical="center"/>
    </xf>
    <xf numFmtId="3" fontId="50" fillId="0" borderId="18" xfId="0" applyNumberFormat="1" applyFont="1" applyBorder="1" applyAlignment="1">
      <alignment horizontal="center" vertical="center"/>
    </xf>
    <xf numFmtId="3" fontId="50" fillId="34" borderId="83" xfId="0" applyNumberFormat="1" applyFont="1" applyFill="1" applyBorder="1" applyAlignment="1">
      <alignment vertical="center"/>
    </xf>
    <xf numFmtId="3" fontId="51" fillId="34" borderId="90" xfId="0" applyNumberFormat="1" applyFont="1" applyFill="1" applyBorder="1" applyAlignment="1">
      <alignment horizontal="right" vertical="center"/>
    </xf>
    <xf numFmtId="3" fontId="51" fillId="33" borderId="91" xfId="0" applyNumberFormat="1" applyFont="1" applyFill="1" applyBorder="1" applyAlignment="1">
      <alignment horizontal="right" vertical="center"/>
    </xf>
    <xf numFmtId="0" fontId="51" fillId="0" borderId="23" xfId="0" applyFont="1" applyBorder="1" applyAlignment="1">
      <alignment horizontal="right" vertical="center"/>
    </xf>
    <xf numFmtId="3" fontId="51" fillId="33" borderId="92" xfId="0" applyNumberFormat="1" applyFont="1" applyFill="1" applyBorder="1" applyAlignment="1">
      <alignment horizontal="right" vertical="center"/>
    </xf>
    <xf numFmtId="3" fontId="50" fillId="34" borderId="93" xfId="0" applyNumberFormat="1" applyFont="1" applyFill="1" applyBorder="1" applyAlignment="1">
      <alignment horizontal="right" vertical="center"/>
    </xf>
    <xf numFmtId="3" fontId="50" fillId="33" borderId="66" xfId="0" applyNumberFormat="1" applyFont="1" applyFill="1" applyBorder="1" applyAlignment="1">
      <alignment horizontal="right" vertical="center"/>
    </xf>
    <xf numFmtId="3" fontId="50" fillId="0" borderId="19" xfId="0" applyNumberFormat="1" applyFont="1" applyBorder="1" applyAlignment="1">
      <alignment horizontal="right" vertical="center"/>
    </xf>
    <xf numFmtId="3" fontId="50" fillId="33" borderId="94" xfId="0" applyNumberFormat="1" applyFont="1" applyFill="1" applyBorder="1" applyAlignment="1">
      <alignment horizontal="right" vertical="center"/>
    </xf>
    <xf numFmtId="3" fontId="50" fillId="34" borderId="53" xfId="0" applyNumberFormat="1" applyFont="1" applyFill="1" applyBorder="1" applyAlignment="1">
      <alignment horizontal="right" vertical="center"/>
    </xf>
    <xf numFmtId="3" fontId="50" fillId="34" borderId="95" xfId="0" applyNumberFormat="1" applyFont="1" applyFill="1" applyBorder="1" applyAlignment="1">
      <alignment horizontal="right" vertical="center"/>
    </xf>
    <xf numFmtId="3" fontId="50" fillId="33" borderId="22" xfId="0" applyNumberFormat="1" applyFont="1" applyFill="1" applyBorder="1" applyAlignment="1">
      <alignment horizontal="right" vertical="center"/>
    </xf>
    <xf numFmtId="3" fontId="50" fillId="33" borderId="96" xfId="0" applyNumberFormat="1" applyFont="1" applyFill="1" applyBorder="1" applyAlignment="1">
      <alignment horizontal="right" vertical="center"/>
    </xf>
    <xf numFmtId="3" fontId="50" fillId="34" borderId="97" xfId="0" applyNumberFormat="1" applyFont="1" applyFill="1" applyBorder="1" applyAlignment="1">
      <alignment horizontal="right" vertical="center"/>
    </xf>
    <xf numFmtId="3" fontId="50" fillId="34" borderId="98" xfId="0" applyNumberFormat="1" applyFont="1" applyFill="1" applyBorder="1" applyAlignment="1">
      <alignment horizontal="right" vertical="center"/>
    </xf>
    <xf numFmtId="3" fontId="50" fillId="33" borderId="24" xfId="0" applyNumberFormat="1" applyFont="1" applyFill="1" applyBorder="1" applyAlignment="1">
      <alignment horizontal="right" vertical="center"/>
    </xf>
    <xf numFmtId="3" fontId="50" fillId="33" borderId="99" xfId="0" applyNumberFormat="1" applyFont="1" applyFill="1" applyBorder="1" applyAlignment="1">
      <alignment horizontal="right" vertical="center"/>
    </xf>
    <xf numFmtId="176" fontId="50" fillId="34" borderId="53" xfId="60" applyNumberFormat="1" applyFont="1" applyFill="1" applyBorder="1" applyAlignment="1">
      <alignment horizontal="right" vertical="center"/>
      <protection/>
    </xf>
    <xf numFmtId="176" fontId="50" fillId="33" borderId="26" xfId="60" applyNumberFormat="1" applyFont="1" applyFill="1" applyBorder="1" applyAlignment="1">
      <alignment horizontal="right" vertical="center"/>
      <protection/>
    </xf>
    <xf numFmtId="176" fontId="50" fillId="33" borderId="54" xfId="60" applyNumberFormat="1" applyFont="1" applyFill="1" applyBorder="1" applyAlignment="1">
      <alignment horizontal="right" vertical="center"/>
      <protection/>
    </xf>
    <xf numFmtId="176" fontId="50" fillId="34" borderId="55" xfId="60" applyNumberFormat="1" applyFont="1" applyFill="1" applyBorder="1" applyAlignment="1">
      <alignment horizontal="right" vertical="center"/>
      <protection/>
    </xf>
    <xf numFmtId="176" fontId="50" fillId="33" borderId="21" xfId="60" applyNumberFormat="1" applyFont="1" applyFill="1" applyBorder="1" applyAlignment="1">
      <alignment horizontal="right" vertical="center"/>
      <protection/>
    </xf>
    <xf numFmtId="176" fontId="50" fillId="33" borderId="56" xfId="60" applyNumberFormat="1" applyFont="1" applyFill="1" applyBorder="1" applyAlignment="1">
      <alignment horizontal="right" vertical="center"/>
      <protection/>
    </xf>
    <xf numFmtId="176" fontId="51" fillId="34" borderId="57" xfId="60" applyNumberFormat="1" applyFont="1" applyFill="1" applyBorder="1" applyAlignment="1">
      <alignment horizontal="right" vertical="center"/>
      <protection/>
    </xf>
    <xf numFmtId="176" fontId="51" fillId="33" borderId="58" xfId="60" applyNumberFormat="1" applyFont="1" applyFill="1" applyBorder="1" applyAlignment="1">
      <alignment horizontal="right" vertical="center"/>
      <protection/>
    </xf>
    <xf numFmtId="176" fontId="51" fillId="33" borderId="59" xfId="60" applyNumberFormat="1" applyFont="1" applyFill="1" applyBorder="1" applyAlignment="1">
      <alignment horizontal="right" vertical="center"/>
      <protection/>
    </xf>
    <xf numFmtId="176" fontId="52" fillId="0" borderId="60" xfId="60" applyNumberFormat="1" applyFont="1" applyFill="1" applyBorder="1" applyAlignment="1">
      <alignment horizontal="right" vertical="center"/>
      <protection/>
    </xf>
    <xf numFmtId="176" fontId="52" fillId="0" borderId="61" xfId="60" applyNumberFormat="1" applyFont="1" applyFill="1" applyBorder="1" applyAlignment="1">
      <alignment horizontal="right" vertical="center"/>
      <protection/>
    </xf>
    <xf numFmtId="176" fontId="52" fillId="0" borderId="62" xfId="60" applyNumberFormat="1" applyFont="1" applyFill="1" applyBorder="1" applyAlignment="1">
      <alignment horizontal="right" vertical="center"/>
      <protection/>
    </xf>
    <xf numFmtId="176" fontId="50" fillId="0" borderId="63" xfId="60" applyNumberFormat="1" applyFont="1" applyFill="1" applyBorder="1" applyAlignment="1">
      <alignment horizontal="right" vertical="center"/>
      <protection/>
    </xf>
    <xf numFmtId="176" fontId="50" fillId="0" borderId="64" xfId="60" applyNumberFormat="1" applyFont="1" applyFill="1" applyBorder="1" applyAlignment="1">
      <alignment horizontal="right" vertical="center"/>
      <protection/>
    </xf>
    <xf numFmtId="176" fontId="50" fillId="0" borderId="65" xfId="60" applyNumberFormat="1" applyFont="1" applyFill="1" applyBorder="1" applyAlignment="1">
      <alignment horizontal="right" vertical="center"/>
      <protection/>
    </xf>
    <xf numFmtId="176" fontId="51" fillId="34" borderId="19" xfId="60" applyNumberFormat="1" applyFont="1" applyFill="1" applyBorder="1" applyAlignment="1">
      <alignment horizontal="right" vertical="center"/>
      <protection/>
    </xf>
    <xf numFmtId="176" fontId="51" fillId="33" borderId="66" xfId="60" applyNumberFormat="1" applyFont="1" applyFill="1" applyBorder="1" applyAlignment="1">
      <alignment horizontal="right" vertical="center"/>
      <protection/>
    </xf>
    <xf numFmtId="176" fontId="51" fillId="33" borderId="67" xfId="60" applyNumberFormat="1" applyFont="1" applyFill="1" applyBorder="1" applyAlignment="1">
      <alignment horizontal="right" vertical="center"/>
      <protection/>
    </xf>
    <xf numFmtId="176" fontId="50" fillId="34" borderId="68" xfId="60" applyNumberFormat="1" applyFont="1" applyFill="1" applyBorder="1" applyAlignment="1">
      <alignment horizontal="right" vertical="center"/>
      <protection/>
    </xf>
    <xf numFmtId="0" fontId="3" fillId="0" borderId="0" xfId="0" applyFont="1" applyBorder="1" applyAlignment="1">
      <alignment horizontal="right" vertical="top" wrapText="1"/>
    </xf>
    <xf numFmtId="0" fontId="3" fillId="0" borderId="0" xfId="0" applyFont="1" applyBorder="1" applyAlignment="1">
      <alignment horizontal="justify" vertical="top" wrapText="1"/>
    </xf>
    <xf numFmtId="0" fontId="3" fillId="0" borderId="0" xfId="0" applyFont="1" applyBorder="1" applyAlignment="1">
      <alignment horizontal="left" vertical="center"/>
    </xf>
    <xf numFmtId="0" fontId="3" fillId="0" borderId="0" xfId="0" applyFont="1" applyAlignment="1">
      <alignment horizontal="left" vertical="top" wrapText="1"/>
    </xf>
    <xf numFmtId="0" fontId="3" fillId="0" borderId="100" xfId="0" applyFont="1" applyBorder="1" applyAlignment="1">
      <alignment horizontal="distributed" vertical="center" wrapText="1"/>
    </xf>
    <xf numFmtId="0" fontId="3" fillId="0" borderId="100" xfId="0" applyFont="1" applyBorder="1" applyAlignment="1">
      <alignment horizontal="distributed" vertical="center"/>
    </xf>
    <xf numFmtId="0" fontId="3" fillId="0" borderId="101" xfId="0" applyFont="1" applyBorder="1" applyAlignment="1">
      <alignment horizontal="distributed" vertical="center"/>
    </xf>
    <xf numFmtId="0" fontId="3" fillId="0" borderId="102" xfId="0" applyFont="1" applyBorder="1" applyAlignment="1">
      <alignment horizontal="distributed" vertical="center" wrapText="1"/>
    </xf>
    <xf numFmtId="0" fontId="3" fillId="0" borderId="103" xfId="0" applyFont="1" applyBorder="1" applyAlignment="1">
      <alignment horizontal="distributed" vertical="center"/>
    </xf>
    <xf numFmtId="0" fontId="5" fillId="0" borderId="104" xfId="0" applyFont="1" applyBorder="1" applyAlignment="1">
      <alignment horizontal="distributed" vertical="center"/>
    </xf>
    <xf numFmtId="0" fontId="5" fillId="0" borderId="105" xfId="0" applyFont="1" applyBorder="1" applyAlignment="1">
      <alignment horizontal="distributed" vertical="center"/>
    </xf>
    <xf numFmtId="0" fontId="3" fillId="0" borderId="48" xfId="0" applyFont="1" applyBorder="1" applyAlignment="1">
      <alignment horizontal="distributed" vertical="center"/>
    </xf>
    <xf numFmtId="0" fontId="3" fillId="0" borderId="106" xfId="0" applyFont="1" applyBorder="1" applyAlignment="1">
      <alignment horizontal="distributed" vertical="center"/>
    </xf>
    <xf numFmtId="0" fontId="3" fillId="0" borderId="0" xfId="0" applyFont="1" applyBorder="1" applyAlignment="1">
      <alignment horizontal="justify" vertical="top" wrapText="1"/>
    </xf>
    <xf numFmtId="0" fontId="4" fillId="0" borderId="0" xfId="0" applyFont="1" applyAlignment="1">
      <alignment horizontal="center" vertical="top"/>
    </xf>
    <xf numFmtId="0" fontId="3" fillId="0" borderId="0" xfId="0" applyFont="1" applyAlignment="1">
      <alignment horizontal="left"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3" xfId="0" applyFont="1" applyBorder="1" applyAlignment="1">
      <alignment horizontal="center" vertical="center"/>
    </xf>
    <xf numFmtId="0" fontId="3" fillId="0" borderId="25"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0" xfId="0" applyFont="1" applyBorder="1" applyAlignment="1">
      <alignment horizontal="left" vertical="top"/>
    </xf>
    <xf numFmtId="0" fontId="3" fillId="0" borderId="0" xfId="0" applyFont="1" applyAlignment="1">
      <alignment horizontal="left" vertical="top"/>
    </xf>
    <xf numFmtId="0" fontId="3" fillId="0" borderId="0" xfId="60" applyFont="1" applyAlignment="1">
      <alignment horizontal="left" vertical="center"/>
      <protection/>
    </xf>
    <xf numFmtId="0" fontId="3" fillId="0" borderId="107" xfId="60" applyFont="1" applyBorder="1" applyAlignment="1">
      <alignment horizontal="distributed" vertical="center"/>
      <protection/>
    </xf>
    <xf numFmtId="0" fontId="3" fillId="0" borderId="109" xfId="60" applyFont="1" applyBorder="1" applyAlignment="1">
      <alignment horizontal="distributed" vertical="center"/>
      <protection/>
    </xf>
    <xf numFmtId="0" fontId="3" fillId="0" borderId="120" xfId="60" applyFont="1" applyBorder="1" applyAlignment="1">
      <alignment horizontal="distributed" vertical="center"/>
      <protection/>
    </xf>
    <xf numFmtId="0" fontId="3" fillId="0" borderId="121" xfId="60" applyFont="1" applyBorder="1" applyAlignment="1">
      <alignment horizontal="center" vertical="center"/>
      <protection/>
    </xf>
    <xf numFmtId="0" fontId="3" fillId="0" borderId="122" xfId="60" applyFont="1" applyBorder="1" applyAlignment="1">
      <alignment horizontal="center" vertical="center"/>
      <protection/>
    </xf>
    <xf numFmtId="0" fontId="3" fillId="0" borderId="123" xfId="60" applyFont="1" applyBorder="1" applyAlignment="1">
      <alignment horizontal="center" vertical="center"/>
      <protection/>
    </xf>
    <xf numFmtId="0" fontId="3" fillId="0" borderId="124" xfId="60" applyFont="1" applyBorder="1" applyAlignment="1">
      <alignment horizontal="center" vertical="center"/>
      <protection/>
    </xf>
    <xf numFmtId="0" fontId="3" fillId="0" borderId="125" xfId="60" applyFont="1" applyBorder="1" applyAlignment="1">
      <alignment horizontal="center" vertical="center"/>
      <protection/>
    </xf>
    <xf numFmtId="0" fontId="3" fillId="0" borderId="122" xfId="60" applyFont="1" applyBorder="1" applyAlignment="1">
      <alignment horizontal="center" vertical="center" wrapText="1"/>
      <protection/>
    </xf>
    <xf numFmtId="0" fontId="3" fillId="0" borderId="32" xfId="60" applyFont="1" applyBorder="1" applyAlignment="1">
      <alignment horizontal="distributed" vertical="center" wrapText="1"/>
      <protection/>
    </xf>
    <xf numFmtId="0" fontId="3" fillId="0" borderId="126" xfId="60" applyFont="1" applyBorder="1" applyAlignment="1">
      <alignment horizontal="distributed" vertical="center" wrapText="1"/>
      <protection/>
    </xf>
    <xf numFmtId="0" fontId="3" fillId="0" borderId="127" xfId="60" applyFont="1" applyBorder="1" applyAlignment="1">
      <alignment horizontal="distributed" vertical="center" wrapText="1"/>
      <protection/>
    </xf>
    <xf numFmtId="0" fontId="3" fillId="0" borderId="128" xfId="60" applyFont="1" applyBorder="1" applyAlignment="1">
      <alignment horizontal="center" vertical="center"/>
      <protection/>
    </xf>
    <xf numFmtId="0" fontId="3" fillId="0" borderId="129" xfId="60" applyFont="1" applyBorder="1" applyAlignment="1">
      <alignment horizontal="center" vertical="center"/>
      <protection/>
    </xf>
    <xf numFmtId="0" fontId="3" fillId="0" borderId="116" xfId="60" applyFont="1" applyBorder="1" applyAlignment="1">
      <alignment horizontal="left"/>
      <protection/>
    </xf>
    <xf numFmtId="0" fontId="3" fillId="0" borderId="130" xfId="60" applyFont="1" applyBorder="1" applyAlignment="1">
      <alignment horizontal="left" vertical="center"/>
      <protection/>
    </xf>
    <xf numFmtId="0" fontId="3" fillId="0" borderId="131" xfId="60" applyFont="1" applyBorder="1" applyAlignment="1">
      <alignment horizontal="center" vertical="center"/>
      <protection/>
    </xf>
    <xf numFmtId="0" fontId="3" fillId="0" borderId="132" xfId="60" applyFont="1" applyBorder="1" applyAlignment="1">
      <alignment horizontal="center" vertical="center"/>
      <protection/>
    </xf>
    <xf numFmtId="0" fontId="12" fillId="0" borderId="133" xfId="60" applyFont="1" applyBorder="1" applyAlignment="1">
      <alignment horizontal="distributed" vertical="center" wrapText="1"/>
      <protection/>
    </xf>
    <xf numFmtId="0" fontId="53" fillId="0" borderId="134" xfId="61" applyFont="1" applyBorder="1" applyAlignment="1">
      <alignment horizontal="distributed" vertical="center"/>
      <protection/>
    </xf>
    <xf numFmtId="0" fontId="12" fillId="0" borderId="135" xfId="60" applyFont="1" applyBorder="1" applyAlignment="1">
      <alignment horizontal="distributed" vertical="center" wrapText="1"/>
      <protection/>
    </xf>
    <xf numFmtId="0" fontId="12" fillId="0" borderId="136" xfId="60" applyFont="1" applyBorder="1" applyAlignment="1">
      <alignment horizontal="distributed" vertical="center"/>
      <protection/>
    </xf>
    <xf numFmtId="0" fontId="12" fillId="0" borderId="137" xfId="60" applyFont="1" applyBorder="1" applyAlignment="1">
      <alignment horizontal="distributed" vertical="center" wrapText="1"/>
      <protection/>
    </xf>
    <xf numFmtId="0" fontId="12" fillId="0" borderId="138" xfId="60" applyFont="1" applyBorder="1" applyAlignment="1">
      <alignment horizontal="distributed" vertical="center" wrapText="1"/>
      <protection/>
    </xf>
    <xf numFmtId="0" fontId="3" fillId="0" borderId="35" xfId="60" applyFont="1" applyBorder="1" applyAlignment="1">
      <alignment horizontal="center" vertical="center"/>
      <protection/>
    </xf>
    <xf numFmtId="0" fontId="3" fillId="0" borderId="121" xfId="60" applyFont="1" applyBorder="1" applyAlignment="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9"/>
  <sheetViews>
    <sheetView showGridLines="0" tabSelected="1" workbookViewId="0" topLeftCell="A1">
      <selection activeCell="A1" sqref="A1:K1"/>
    </sheetView>
  </sheetViews>
  <sheetFormatPr defaultColWidth="5.875" defaultRowHeight="13.5"/>
  <cols>
    <col min="1" max="1" width="10.625" style="1" customWidth="1"/>
    <col min="2" max="2" width="16.00390625" style="1" customWidth="1"/>
    <col min="3" max="3" width="3.00390625" style="1" customWidth="1"/>
    <col min="4" max="4" width="6.75390625" style="1" customWidth="1"/>
    <col min="5" max="5" width="9.75390625" style="1" customWidth="1"/>
    <col min="6" max="6" width="3.00390625" style="1" customWidth="1"/>
    <col min="7" max="7" width="6.75390625" style="1" customWidth="1"/>
    <col min="8" max="8" width="11.375" style="1" bestFit="1" customWidth="1"/>
    <col min="9" max="9" width="3.00390625" style="1" customWidth="1"/>
    <col min="10" max="10" width="6.75390625" style="1" customWidth="1"/>
    <col min="11" max="11" width="11.375" style="1" bestFit="1" customWidth="1"/>
    <col min="12" max="16384" width="5.875" style="1" customWidth="1"/>
  </cols>
  <sheetData>
    <row r="1" spans="1:11" ht="15">
      <c r="A1" s="193" t="s">
        <v>0</v>
      </c>
      <c r="B1" s="193"/>
      <c r="C1" s="193"/>
      <c r="D1" s="193"/>
      <c r="E1" s="193"/>
      <c r="F1" s="193"/>
      <c r="G1" s="193"/>
      <c r="H1" s="193"/>
      <c r="I1" s="193"/>
      <c r="J1" s="193"/>
      <c r="K1" s="193"/>
    </row>
    <row r="2" spans="1:11" ht="15">
      <c r="A2" s="40"/>
      <c r="B2" s="40"/>
      <c r="C2" s="40"/>
      <c r="D2" s="40"/>
      <c r="E2" s="40"/>
      <c r="F2" s="40"/>
      <c r="G2" s="40"/>
      <c r="H2" s="40"/>
      <c r="I2" s="40"/>
      <c r="J2" s="40"/>
      <c r="K2" s="40"/>
    </row>
    <row r="3" spans="1:11" ht="16.5" customHeight="1" thickBot="1">
      <c r="A3" s="194" t="s">
        <v>133</v>
      </c>
      <c r="B3" s="194"/>
      <c r="C3" s="194"/>
      <c r="D3" s="194"/>
      <c r="E3" s="194"/>
      <c r="F3" s="194"/>
      <c r="G3" s="194"/>
      <c r="H3" s="194"/>
      <c r="I3" s="194"/>
      <c r="J3" s="194"/>
      <c r="K3" s="194"/>
    </row>
    <row r="4" spans="1:11" ht="24" customHeight="1">
      <c r="A4" s="195" t="s">
        <v>1</v>
      </c>
      <c r="B4" s="196"/>
      <c r="C4" s="199" t="s">
        <v>134</v>
      </c>
      <c r="D4" s="200"/>
      <c r="E4" s="201"/>
      <c r="F4" s="199" t="s">
        <v>135</v>
      </c>
      <c r="G4" s="200"/>
      <c r="H4" s="201"/>
      <c r="I4" s="199" t="s">
        <v>136</v>
      </c>
      <c r="J4" s="200"/>
      <c r="K4" s="202"/>
    </row>
    <row r="5" spans="1:11" ht="24" customHeight="1">
      <c r="A5" s="197"/>
      <c r="B5" s="198"/>
      <c r="C5" s="203" t="s">
        <v>2</v>
      </c>
      <c r="D5" s="204"/>
      <c r="E5" s="6" t="s">
        <v>3</v>
      </c>
      <c r="F5" s="203" t="s">
        <v>2</v>
      </c>
      <c r="G5" s="204"/>
      <c r="H5" s="6" t="s">
        <v>3</v>
      </c>
      <c r="I5" s="203" t="s">
        <v>2</v>
      </c>
      <c r="J5" s="204"/>
      <c r="K5" s="14" t="s">
        <v>3</v>
      </c>
    </row>
    <row r="6" spans="1:11" ht="12" customHeight="1">
      <c r="A6" s="28"/>
      <c r="B6" s="31"/>
      <c r="C6" s="29"/>
      <c r="D6" s="25" t="s">
        <v>23</v>
      </c>
      <c r="E6" s="24" t="s">
        <v>22</v>
      </c>
      <c r="F6" s="29"/>
      <c r="G6" s="25" t="s">
        <v>23</v>
      </c>
      <c r="H6" s="24" t="s">
        <v>22</v>
      </c>
      <c r="I6" s="29"/>
      <c r="J6" s="25" t="s">
        <v>23</v>
      </c>
      <c r="K6" s="30" t="s">
        <v>22</v>
      </c>
    </row>
    <row r="7" spans="1:11" ht="30" customHeight="1">
      <c r="A7" s="183" t="s">
        <v>137</v>
      </c>
      <c r="B7" s="27" t="s">
        <v>138</v>
      </c>
      <c r="C7" s="15"/>
      <c r="D7" s="122">
        <v>58019</v>
      </c>
      <c r="E7" s="123">
        <v>37690293</v>
      </c>
      <c r="F7" s="124"/>
      <c r="G7" s="122">
        <v>168574</v>
      </c>
      <c r="H7" s="123">
        <v>1200129390</v>
      </c>
      <c r="I7" s="124"/>
      <c r="J7" s="122">
        <v>226593</v>
      </c>
      <c r="K7" s="125">
        <v>1237819683</v>
      </c>
    </row>
    <row r="8" spans="1:11" ht="30" customHeight="1">
      <c r="A8" s="184"/>
      <c r="B8" s="19" t="s">
        <v>139</v>
      </c>
      <c r="C8" s="15"/>
      <c r="D8" s="126">
        <v>94977</v>
      </c>
      <c r="E8" s="127">
        <v>39623058</v>
      </c>
      <c r="F8" s="124"/>
      <c r="G8" s="126">
        <v>74677</v>
      </c>
      <c r="H8" s="127">
        <v>44752250</v>
      </c>
      <c r="I8" s="124"/>
      <c r="J8" s="126">
        <v>169654</v>
      </c>
      <c r="K8" s="128">
        <v>84375308</v>
      </c>
    </row>
    <row r="9" spans="1:11" s="3" customFormat="1" ht="30" customHeight="1">
      <c r="A9" s="184"/>
      <c r="B9" s="20" t="s">
        <v>140</v>
      </c>
      <c r="C9" s="16"/>
      <c r="D9" s="129">
        <v>152996</v>
      </c>
      <c r="E9" s="130">
        <v>77313350</v>
      </c>
      <c r="F9" s="131"/>
      <c r="G9" s="129">
        <v>243251</v>
      </c>
      <c r="H9" s="130">
        <v>1244881641</v>
      </c>
      <c r="I9" s="131"/>
      <c r="J9" s="129">
        <v>396247</v>
      </c>
      <c r="K9" s="132">
        <v>1322194991</v>
      </c>
    </row>
    <row r="10" spans="1:11" ht="30" customHeight="1">
      <c r="A10" s="185"/>
      <c r="B10" s="21" t="s">
        <v>141</v>
      </c>
      <c r="C10" s="15"/>
      <c r="D10" s="133">
        <v>4529</v>
      </c>
      <c r="E10" s="134">
        <v>4703589</v>
      </c>
      <c r="F10" s="135"/>
      <c r="G10" s="133">
        <v>13136</v>
      </c>
      <c r="H10" s="134">
        <v>130814358</v>
      </c>
      <c r="I10" s="135"/>
      <c r="J10" s="133">
        <v>17665</v>
      </c>
      <c r="K10" s="136">
        <v>135517947</v>
      </c>
    </row>
    <row r="11" spans="1:11" ht="30" customHeight="1">
      <c r="A11" s="186" t="s">
        <v>142</v>
      </c>
      <c r="B11" s="41" t="s">
        <v>143</v>
      </c>
      <c r="C11" s="9"/>
      <c r="D11" s="137">
        <v>13701</v>
      </c>
      <c r="E11" s="138">
        <v>3584287</v>
      </c>
      <c r="F11" s="139"/>
      <c r="G11" s="140">
        <v>14028</v>
      </c>
      <c r="H11" s="138">
        <v>5393906</v>
      </c>
      <c r="I11" s="139"/>
      <c r="J11" s="140">
        <v>27729</v>
      </c>
      <c r="K11" s="141">
        <v>8978193</v>
      </c>
    </row>
    <row r="12" spans="1:11" ht="30" customHeight="1">
      <c r="A12" s="187"/>
      <c r="B12" s="42" t="s">
        <v>144</v>
      </c>
      <c r="C12" s="26"/>
      <c r="D12" s="126">
        <v>1435</v>
      </c>
      <c r="E12" s="127">
        <v>281271</v>
      </c>
      <c r="F12" s="142"/>
      <c r="G12" s="143">
        <v>1761</v>
      </c>
      <c r="H12" s="127">
        <v>2192743</v>
      </c>
      <c r="I12" s="142"/>
      <c r="J12" s="143">
        <v>3196</v>
      </c>
      <c r="K12" s="128">
        <v>2474014</v>
      </c>
    </row>
    <row r="13" spans="1:11" s="3" customFormat="1" ht="30" customHeight="1">
      <c r="A13" s="188" t="s">
        <v>6</v>
      </c>
      <c r="B13" s="189"/>
      <c r="C13" s="22" t="s">
        <v>14</v>
      </c>
      <c r="D13" s="144">
        <v>164732</v>
      </c>
      <c r="E13" s="145">
        <v>75912776</v>
      </c>
      <c r="F13" s="146" t="s">
        <v>168</v>
      </c>
      <c r="G13" s="144">
        <v>258131</v>
      </c>
      <c r="H13" s="145">
        <v>1117268446</v>
      </c>
      <c r="I13" s="146" t="s">
        <v>168</v>
      </c>
      <c r="J13" s="144">
        <v>422863</v>
      </c>
      <c r="K13" s="147">
        <v>1193181223</v>
      </c>
    </row>
    <row r="14" spans="1:11" ht="30" customHeight="1" thickBot="1">
      <c r="A14" s="190" t="s">
        <v>7</v>
      </c>
      <c r="B14" s="191"/>
      <c r="C14" s="17"/>
      <c r="D14" s="148">
        <v>14459</v>
      </c>
      <c r="E14" s="149">
        <v>715841</v>
      </c>
      <c r="F14" s="150"/>
      <c r="G14" s="148">
        <v>10847</v>
      </c>
      <c r="H14" s="149">
        <v>1031671</v>
      </c>
      <c r="I14" s="150"/>
      <c r="J14" s="148">
        <v>25306</v>
      </c>
      <c r="K14" s="151">
        <v>1747512</v>
      </c>
    </row>
    <row r="15" spans="1:11" s="181" customFormat="1" ht="3" customHeight="1">
      <c r="A15" s="179"/>
      <c r="B15" s="180"/>
      <c r="C15" s="180"/>
      <c r="D15" s="180"/>
      <c r="E15" s="180"/>
      <c r="F15" s="180"/>
      <c r="G15" s="180"/>
      <c r="H15" s="180"/>
      <c r="I15" s="180"/>
      <c r="J15" s="180"/>
      <c r="K15" s="180"/>
    </row>
    <row r="16" spans="1:11" s="4" customFormat="1" ht="36" customHeight="1">
      <c r="A16" s="179" t="s">
        <v>132</v>
      </c>
      <c r="B16" s="192" t="s">
        <v>160</v>
      </c>
      <c r="C16" s="192"/>
      <c r="D16" s="192"/>
      <c r="E16" s="192"/>
      <c r="F16" s="192"/>
      <c r="G16" s="192"/>
      <c r="H16" s="192"/>
      <c r="I16" s="192"/>
      <c r="J16" s="192"/>
      <c r="K16" s="192"/>
    </row>
    <row r="17" spans="2:11" ht="39" customHeight="1">
      <c r="B17" s="182" t="s">
        <v>161</v>
      </c>
      <c r="C17" s="182"/>
      <c r="D17" s="182"/>
      <c r="E17" s="182"/>
      <c r="F17" s="182"/>
      <c r="G17" s="182"/>
      <c r="H17" s="182"/>
      <c r="I17" s="182"/>
      <c r="J17" s="182"/>
      <c r="K17" s="182"/>
    </row>
    <row r="18" ht="13.5" customHeight="1">
      <c r="A18" s="1" t="s">
        <v>153</v>
      </c>
    </row>
    <row r="19" ht="13.5" customHeight="1">
      <c r="A19" s="45" t="s">
        <v>159</v>
      </c>
    </row>
  </sheetData>
  <sheetProtection/>
  <mergeCells count="15">
    <mergeCell ref="A1:K1"/>
    <mergeCell ref="A3:K3"/>
    <mergeCell ref="A4:B5"/>
    <mergeCell ref="C4:E4"/>
    <mergeCell ref="F4:H4"/>
    <mergeCell ref="I4:K4"/>
    <mergeCell ref="C5:D5"/>
    <mergeCell ref="F5:G5"/>
    <mergeCell ref="I5:J5"/>
    <mergeCell ref="B17:K17"/>
    <mergeCell ref="A7:A10"/>
    <mergeCell ref="A11:A12"/>
    <mergeCell ref="A13:B13"/>
    <mergeCell ref="A14:B14"/>
    <mergeCell ref="B16:K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&amp;R関東信越国税局
消費税
(H&amp;K01+00030&amp;K000000)</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workbookViewId="0" topLeftCell="A1">
      <selection activeCell="A1" sqref="A1"/>
    </sheetView>
  </sheetViews>
  <sheetFormatPr defaultColWidth="9.00390625" defaultRowHeight="13.5"/>
  <cols>
    <col min="1" max="1" width="10.625" style="44" customWidth="1"/>
    <col min="2" max="2" width="15.625" style="44" customWidth="1"/>
    <col min="3" max="3" width="8.625" style="44" customWidth="1"/>
    <col min="4" max="4" width="10.625" style="44" customWidth="1"/>
    <col min="5" max="5" width="8.625" style="44" customWidth="1"/>
    <col min="6" max="6" width="12.875" style="44" bestFit="1" customWidth="1"/>
    <col min="7" max="7" width="8.625" style="44" customWidth="1"/>
    <col min="8" max="8" width="12.875" style="44" bestFit="1" customWidth="1"/>
    <col min="9" max="16384" width="9.00390625" style="44" customWidth="1"/>
  </cols>
  <sheetData>
    <row r="1" s="1" customFormat="1" ht="16.5" customHeight="1" thickBot="1">
      <c r="A1" s="4" t="s">
        <v>24</v>
      </c>
    </row>
    <row r="2" spans="1:8" s="1" customFormat="1" ht="15" customHeight="1">
      <c r="A2" s="195" t="s">
        <v>1</v>
      </c>
      <c r="B2" s="196"/>
      <c r="C2" s="205" t="s">
        <v>15</v>
      </c>
      <c r="D2" s="205"/>
      <c r="E2" s="205" t="s">
        <v>17</v>
      </c>
      <c r="F2" s="205"/>
      <c r="G2" s="206" t="s">
        <v>18</v>
      </c>
      <c r="H2" s="207"/>
    </row>
    <row r="3" spans="1:8" s="1" customFormat="1" ht="15" customHeight="1">
      <c r="A3" s="197"/>
      <c r="B3" s="198"/>
      <c r="C3" s="9" t="s">
        <v>19</v>
      </c>
      <c r="D3" s="6" t="s">
        <v>20</v>
      </c>
      <c r="E3" s="9" t="s">
        <v>19</v>
      </c>
      <c r="F3" s="7" t="s">
        <v>20</v>
      </c>
      <c r="G3" s="9" t="s">
        <v>19</v>
      </c>
      <c r="H3" s="8" t="s">
        <v>20</v>
      </c>
    </row>
    <row r="4" spans="1:8" s="10" customFormat="1" ht="15" customHeight="1">
      <c r="A4" s="32"/>
      <c r="B4" s="6"/>
      <c r="C4" s="33" t="s">
        <v>4</v>
      </c>
      <c r="D4" s="34" t="s">
        <v>5</v>
      </c>
      <c r="E4" s="33" t="s">
        <v>4</v>
      </c>
      <c r="F4" s="34" t="s">
        <v>5</v>
      </c>
      <c r="G4" s="33" t="s">
        <v>4</v>
      </c>
      <c r="H4" s="35" t="s">
        <v>5</v>
      </c>
    </row>
    <row r="5" spans="1:8" s="43" customFormat="1" ht="30" customHeight="1">
      <c r="A5" s="210" t="s">
        <v>163</v>
      </c>
      <c r="B5" s="27" t="s">
        <v>12</v>
      </c>
      <c r="C5" s="152">
        <v>154187</v>
      </c>
      <c r="D5" s="123">
        <v>67693042</v>
      </c>
      <c r="E5" s="152">
        <v>242140</v>
      </c>
      <c r="F5" s="123">
        <v>999181483</v>
      </c>
      <c r="G5" s="152">
        <v>396327</v>
      </c>
      <c r="H5" s="125">
        <v>1066874525</v>
      </c>
    </row>
    <row r="6" spans="1:8" s="43" customFormat="1" ht="30" customHeight="1">
      <c r="A6" s="211"/>
      <c r="B6" s="21" t="s">
        <v>13</v>
      </c>
      <c r="C6" s="153">
        <v>4254</v>
      </c>
      <c r="D6" s="154">
        <v>3058020</v>
      </c>
      <c r="E6" s="153">
        <v>11233</v>
      </c>
      <c r="F6" s="154">
        <v>103538286</v>
      </c>
      <c r="G6" s="153">
        <v>15487</v>
      </c>
      <c r="H6" s="155">
        <v>106596306</v>
      </c>
    </row>
    <row r="7" spans="1:8" s="43" customFormat="1" ht="30" customHeight="1">
      <c r="A7" s="210" t="s">
        <v>164</v>
      </c>
      <c r="B7" s="18" t="s">
        <v>12</v>
      </c>
      <c r="C7" s="156">
        <v>154529</v>
      </c>
      <c r="D7" s="138">
        <v>75918257</v>
      </c>
      <c r="E7" s="156">
        <v>242241</v>
      </c>
      <c r="F7" s="138">
        <v>1166067551</v>
      </c>
      <c r="G7" s="156">
        <v>396770</v>
      </c>
      <c r="H7" s="141">
        <v>1241985808</v>
      </c>
    </row>
    <row r="8" spans="1:8" s="43" customFormat="1" ht="30" customHeight="1">
      <c r="A8" s="211"/>
      <c r="B8" s="21" t="s">
        <v>13</v>
      </c>
      <c r="C8" s="153">
        <v>4709</v>
      </c>
      <c r="D8" s="154">
        <v>4572063</v>
      </c>
      <c r="E8" s="153">
        <v>12005</v>
      </c>
      <c r="F8" s="154">
        <v>112561541</v>
      </c>
      <c r="G8" s="153">
        <v>16714</v>
      </c>
      <c r="H8" s="155">
        <v>117133604</v>
      </c>
    </row>
    <row r="9" spans="1:8" s="43" customFormat="1" ht="30" customHeight="1">
      <c r="A9" s="210" t="s">
        <v>165</v>
      </c>
      <c r="B9" s="18" t="s">
        <v>12</v>
      </c>
      <c r="C9" s="156">
        <v>154450</v>
      </c>
      <c r="D9" s="138">
        <v>77182048</v>
      </c>
      <c r="E9" s="156">
        <v>243657</v>
      </c>
      <c r="F9" s="138">
        <v>1208310076</v>
      </c>
      <c r="G9" s="156">
        <v>398107</v>
      </c>
      <c r="H9" s="141">
        <v>1285492124</v>
      </c>
    </row>
    <row r="10" spans="1:8" s="43" customFormat="1" ht="30" customHeight="1">
      <c r="A10" s="211"/>
      <c r="B10" s="21" t="s">
        <v>13</v>
      </c>
      <c r="C10" s="153">
        <v>4344</v>
      </c>
      <c r="D10" s="154">
        <v>4121597</v>
      </c>
      <c r="E10" s="153">
        <v>12468</v>
      </c>
      <c r="F10" s="154">
        <v>114118668</v>
      </c>
      <c r="G10" s="153">
        <v>16812</v>
      </c>
      <c r="H10" s="155">
        <v>118240265</v>
      </c>
    </row>
    <row r="11" spans="1:8" s="43" customFormat="1" ht="30" customHeight="1">
      <c r="A11" s="210" t="s">
        <v>166</v>
      </c>
      <c r="B11" s="18" t="s">
        <v>12</v>
      </c>
      <c r="C11" s="156">
        <v>153568</v>
      </c>
      <c r="D11" s="138">
        <v>76656139</v>
      </c>
      <c r="E11" s="156">
        <v>243585</v>
      </c>
      <c r="F11" s="138">
        <v>1230492013</v>
      </c>
      <c r="G11" s="156">
        <v>397153</v>
      </c>
      <c r="H11" s="141">
        <v>1307148151</v>
      </c>
    </row>
    <row r="12" spans="1:8" s="43" customFormat="1" ht="30" customHeight="1">
      <c r="A12" s="211"/>
      <c r="B12" s="21" t="s">
        <v>13</v>
      </c>
      <c r="C12" s="153">
        <v>4369</v>
      </c>
      <c r="D12" s="154">
        <v>4190860</v>
      </c>
      <c r="E12" s="153">
        <v>12754</v>
      </c>
      <c r="F12" s="154">
        <v>121565302</v>
      </c>
      <c r="G12" s="153">
        <v>17123</v>
      </c>
      <c r="H12" s="155">
        <v>125756161</v>
      </c>
    </row>
    <row r="13" spans="1:8" s="1" customFormat="1" ht="30" customHeight="1">
      <c r="A13" s="208" t="s">
        <v>167</v>
      </c>
      <c r="B13" s="18" t="s">
        <v>12</v>
      </c>
      <c r="C13" s="156">
        <v>152996</v>
      </c>
      <c r="D13" s="138">
        <v>77313350</v>
      </c>
      <c r="E13" s="156">
        <v>243251</v>
      </c>
      <c r="F13" s="138">
        <v>1244881641</v>
      </c>
      <c r="G13" s="156">
        <v>396247</v>
      </c>
      <c r="H13" s="141">
        <v>1322194991</v>
      </c>
    </row>
    <row r="14" spans="1:8" s="1" customFormat="1" ht="30" customHeight="1" thickBot="1">
      <c r="A14" s="209"/>
      <c r="B14" s="23" t="s">
        <v>13</v>
      </c>
      <c r="C14" s="157">
        <v>4529</v>
      </c>
      <c r="D14" s="158">
        <v>4703589</v>
      </c>
      <c r="E14" s="157">
        <v>13136</v>
      </c>
      <c r="F14" s="158">
        <v>130814358</v>
      </c>
      <c r="G14" s="157">
        <v>17665</v>
      </c>
      <c r="H14" s="159">
        <v>135517947</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&amp;R関東信越国税局
消費税
(H&amp;K01+00030&amp;K000000)</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7"/>
  <sheetViews>
    <sheetView showGridLines="0" workbookViewId="0" topLeftCell="A1">
      <selection activeCell="A1" sqref="A1"/>
    </sheetView>
  </sheetViews>
  <sheetFormatPr defaultColWidth="9.00390625" defaultRowHeight="13.5"/>
  <cols>
    <col min="1" max="2" width="18.625" style="44" customWidth="1"/>
    <col min="3" max="3" width="23.625" style="44" customWidth="1"/>
    <col min="4" max="4" width="18.625" style="44" customWidth="1"/>
    <col min="5" max="16384" width="9.00390625" style="44" customWidth="1"/>
  </cols>
  <sheetData>
    <row r="1" s="1" customFormat="1" ht="16.5" customHeight="1" thickBot="1">
      <c r="A1" s="4" t="s">
        <v>21</v>
      </c>
    </row>
    <row r="2" spans="1:4" s="4" customFormat="1" ht="19.5" customHeight="1">
      <c r="A2" s="11" t="s">
        <v>8</v>
      </c>
      <c r="B2" s="12" t="s">
        <v>9</v>
      </c>
      <c r="C2" s="13" t="s">
        <v>10</v>
      </c>
      <c r="D2" s="46" t="s">
        <v>25</v>
      </c>
    </row>
    <row r="3" spans="1:4" s="10" customFormat="1" ht="15" customHeight="1">
      <c r="A3" s="36" t="s">
        <v>4</v>
      </c>
      <c r="B3" s="37" t="s">
        <v>4</v>
      </c>
      <c r="C3" s="38" t="s">
        <v>4</v>
      </c>
      <c r="D3" s="39" t="s">
        <v>4</v>
      </c>
    </row>
    <row r="4" spans="1:9" s="4" customFormat="1" ht="30" customHeight="1" thickBot="1">
      <c r="A4" s="118">
        <v>421833</v>
      </c>
      <c r="B4" s="119">
        <v>13133</v>
      </c>
      <c r="C4" s="120">
        <v>1092</v>
      </c>
      <c r="D4" s="121">
        <v>436058</v>
      </c>
      <c r="E4" s="5"/>
      <c r="G4" s="5"/>
      <c r="I4" s="5"/>
    </row>
    <row r="5" s="43" customFormat="1" ht="3" customHeight="1"/>
    <row r="6" spans="1:4" s="1" customFormat="1" ht="13.5" customHeight="1">
      <c r="A6" s="212" t="s">
        <v>162</v>
      </c>
      <c r="B6" s="212"/>
      <c r="C6" s="212"/>
      <c r="D6" s="212"/>
    </row>
    <row r="7" spans="1:4" s="1" customFormat="1" ht="13.5" customHeight="1">
      <c r="A7" s="213" t="s">
        <v>11</v>
      </c>
      <c r="B7" s="213"/>
      <c r="C7" s="213"/>
      <c r="D7" s="213"/>
    </row>
  </sheetData>
  <sheetProtection/>
  <mergeCells count="2">
    <mergeCell ref="A6:D6"/>
    <mergeCell ref="A7:D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&amp;R関東信越国税局
消費税
(H&amp;K01+00030&amp;K000000)</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97"/>
  <sheetViews>
    <sheetView workbookViewId="0" topLeftCell="A1">
      <selection activeCell="A1" sqref="A1"/>
    </sheetView>
  </sheetViews>
  <sheetFormatPr defaultColWidth="9.00390625" defaultRowHeight="13.5"/>
  <cols>
    <col min="1" max="1" width="11.375" style="49" customWidth="1"/>
    <col min="2" max="2" width="10.625" style="49" customWidth="1"/>
    <col min="3" max="3" width="12.625" style="49" customWidth="1"/>
    <col min="4" max="4" width="10.625" style="49" customWidth="1"/>
    <col min="5" max="5" width="12.625" style="49" customWidth="1"/>
    <col min="6" max="6" width="10.625" style="49" customWidth="1"/>
    <col min="7" max="7" width="12.625" style="49" customWidth="1"/>
    <col min="8" max="8" width="10.625" style="49" customWidth="1"/>
    <col min="9" max="9" width="12.625" style="49" customWidth="1"/>
    <col min="10" max="10" width="10.625" style="49" customWidth="1"/>
    <col min="11" max="11" width="12.625" style="49" customWidth="1"/>
    <col min="12" max="12" width="10.625" style="49" customWidth="1"/>
    <col min="13" max="13" width="12.625" style="49" customWidth="1"/>
    <col min="14" max="14" width="11.375" style="49" customWidth="1"/>
    <col min="15" max="16384" width="9.00390625" style="49" customWidth="1"/>
  </cols>
  <sheetData>
    <row r="1" spans="1:14" ht="16.5" customHeight="1">
      <c r="A1" s="47" t="s">
        <v>157</v>
      </c>
      <c r="B1" s="47"/>
      <c r="C1" s="47"/>
      <c r="D1" s="47"/>
      <c r="E1" s="47"/>
      <c r="F1" s="47"/>
      <c r="G1" s="47"/>
      <c r="H1" s="48"/>
      <c r="I1" s="48"/>
      <c r="J1" s="48"/>
      <c r="K1" s="48"/>
      <c r="L1" s="48"/>
      <c r="M1" s="48"/>
      <c r="N1" s="48"/>
    </row>
    <row r="2" spans="1:14" ht="14.25" thickBot="1">
      <c r="A2" s="214" t="s">
        <v>26</v>
      </c>
      <c r="B2" s="214"/>
      <c r="C2" s="214"/>
      <c r="D2" s="214"/>
      <c r="E2" s="214"/>
      <c r="F2" s="214"/>
      <c r="G2" s="214"/>
      <c r="H2" s="48"/>
      <c r="I2" s="48"/>
      <c r="J2" s="48"/>
      <c r="K2" s="48"/>
      <c r="L2" s="48"/>
      <c r="M2" s="48"/>
      <c r="N2" s="48"/>
    </row>
    <row r="3" spans="1:14" ht="19.5" customHeight="1">
      <c r="A3" s="215" t="s">
        <v>27</v>
      </c>
      <c r="B3" s="218" t="s">
        <v>28</v>
      </c>
      <c r="C3" s="218"/>
      <c r="D3" s="218"/>
      <c r="E3" s="218"/>
      <c r="F3" s="218"/>
      <c r="G3" s="218"/>
      <c r="H3" s="219" t="s">
        <v>13</v>
      </c>
      <c r="I3" s="220"/>
      <c r="J3" s="223" t="s">
        <v>29</v>
      </c>
      <c r="K3" s="220"/>
      <c r="L3" s="219" t="s">
        <v>30</v>
      </c>
      <c r="M3" s="220"/>
      <c r="N3" s="224" t="s">
        <v>31</v>
      </c>
    </row>
    <row r="4" spans="1:14" ht="17.25" customHeight="1">
      <c r="A4" s="216"/>
      <c r="B4" s="227" t="s">
        <v>16</v>
      </c>
      <c r="C4" s="227"/>
      <c r="D4" s="221" t="s">
        <v>32</v>
      </c>
      <c r="E4" s="228"/>
      <c r="F4" s="221" t="s">
        <v>33</v>
      </c>
      <c r="G4" s="228"/>
      <c r="H4" s="221"/>
      <c r="I4" s="222"/>
      <c r="J4" s="221"/>
      <c r="K4" s="222"/>
      <c r="L4" s="221"/>
      <c r="M4" s="222"/>
      <c r="N4" s="225"/>
    </row>
    <row r="5" spans="1:14" s="55" customFormat="1" ht="28.5" customHeight="1">
      <c r="A5" s="217"/>
      <c r="B5" s="50" t="s">
        <v>34</v>
      </c>
      <c r="C5" s="51" t="s">
        <v>35</v>
      </c>
      <c r="D5" s="50" t="s">
        <v>34</v>
      </c>
      <c r="E5" s="51" t="s">
        <v>35</v>
      </c>
      <c r="F5" s="50" t="s">
        <v>34</v>
      </c>
      <c r="G5" s="52" t="s">
        <v>36</v>
      </c>
      <c r="H5" s="50" t="s">
        <v>34</v>
      </c>
      <c r="I5" s="53" t="s">
        <v>37</v>
      </c>
      <c r="J5" s="50" t="s">
        <v>34</v>
      </c>
      <c r="K5" s="53" t="s">
        <v>38</v>
      </c>
      <c r="L5" s="50" t="s">
        <v>34</v>
      </c>
      <c r="M5" s="54" t="s">
        <v>39</v>
      </c>
      <c r="N5" s="226"/>
    </row>
    <row r="6" spans="1:14" s="61" customFormat="1" ht="10.5">
      <c r="A6" s="56"/>
      <c r="B6" s="57" t="s">
        <v>4</v>
      </c>
      <c r="C6" s="58" t="s">
        <v>5</v>
      </c>
      <c r="D6" s="57" t="s">
        <v>4</v>
      </c>
      <c r="E6" s="58" t="s">
        <v>5</v>
      </c>
      <c r="F6" s="57" t="s">
        <v>4</v>
      </c>
      <c r="G6" s="58" t="s">
        <v>5</v>
      </c>
      <c r="H6" s="57" t="s">
        <v>4</v>
      </c>
      <c r="I6" s="59" t="s">
        <v>5</v>
      </c>
      <c r="J6" s="57" t="s">
        <v>4</v>
      </c>
      <c r="K6" s="59" t="s">
        <v>5</v>
      </c>
      <c r="L6" s="57" t="s">
        <v>156</v>
      </c>
      <c r="M6" s="59" t="s">
        <v>5</v>
      </c>
      <c r="N6" s="60"/>
    </row>
    <row r="7" spans="1:14" s="64" customFormat="1" ht="15.75" customHeight="1">
      <c r="A7" s="62" t="s">
        <v>40</v>
      </c>
      <c r="B7" s="160">
        <f>_xlfn.COMPOUNDVALUE(505)</f>
        <v>1963</v>
      </c>
      <c r="C7" s="161">
        <v>1372810</v>
      </c>
      <c r="D7" s="160">
        <f>_xlfn.COMPOUNDVALUE(506)</f>
        <v>2527</v>
      </c>
      <c r="E7" s="161">
        <v>1099718</v>
      </c>
      <c r="F7" s="160">
        <f>_xlfn.COMPOUNDVALUE(507)</f>
        <v>4490</v>
      </c>
      <c r="G7" s="161">
        <v>2472528</v>
      </c>
      <c r="H7" s="160">
        <f>_xlfn.COMPOUNDVALUE(508)</f>
        <v>124</v>
      </c>
      <c r="I7" s="162">
        <v>98336</v>
      </c>
      <c r="J7" s="160">
        <v>416</v>
      </c>
      <c r="K7" s="162">
        <v>154715</v>
      </c>
      <c r="L7" s="160">
        <v>4850</v>
      </c>
      <c r="M7" s="162">
        <v>2528907</v>
      </c>
      <c r="N7" s="63" t="s">
        <v>40</v>
      </c>
    </row>
    <row r="8" spans="1:14" s="64" customFormat="1" ht="15.75" customHeight="1">
      <c r="A8" s="65" t="s">
        <v>41</v>
      </c>
      <c r="B8" s="163">
        <f>_xlfn.COMPOUNDVALUE(509)</f>
        <v>782</v>
      </c>
      <c r="C8" s="164">
        <v>522843</v>
      </c>
      <c r="D8" s="163">
        <f>_xlfn.COMPOUNDVALUE(510)</f>
        <v>1014</v>
      </c>
      <c r="E8" s="164">
        <v>434910</v>
      </c>
      <c r="F8" s="163">
        <f>_xlfn.COMPOUNDVALUE(511)</f>
        <v>1796</v>
      </c>
      <c r="G8" s="164">
        <v>957753</v>
      </c>
      <c r="H8" s="163">
        <f>_xlfn.COMPOUNDVALUE(512)</f>
        <v>48</v>
      </c>
      <c r="I8" s="165">
        <v>15905</v>
      </c>
      <c r="J8" s="163">
        <v>336</v>
      </c>
      <c r="K8" s="165">
        <v>50589</v>
      </c>
      <c r="L8" s="163">
        <v>1910</v>
      </c>
      <c r="M8" s="165">
        <v>992437</v>
      </c>
      <c r="N8" s="66" t="s">
        <v>41</v>
      </c>
    </row>
    <row r="9" spans="1:14" s="64" customFormat="1" ht="15.75" customHeight="1">
      <c r="A9" s="65" t="s">
        <v>42</v>
      </c>
      <c r="B9" s="163">
        <f>_xlfn.COMPOUNDVALUE(513)</f>
        <v>1813</v>
      </c>
      <c r="C9" s="164">
        <v>1222365</v>
      </c>
      <c r="D9" s="163">
        <f>_xlfn.COMPOUNDVALUE(514)</f>
        <v>2423</v>
      </c>
      <c r="E9" s="164">
        <v>1025196</v>
      </c>
      <c r="F9" s="163">
        <f>_xlfn.COMPOUNDVALUE(515)</f>
        <v>4236</v>
      </c>
      <c r="G9" s="164">
        <v>2247560</v>
      </c>
      <c r="H9" s="163">
        <f>_xlfn.COMPOUNDVALUE(516)</f>
        <v>133</v>
      </c>
      <c r="I9" s="165">
        <v>128703</v>
      </c>
      <c r="J9" s="163">
        <v>364</v>
      </c>
      <c r="K9" s="165">
        <v>77415</v>
      </c>
      <c r="L9" s="163">
        <v>4552</v>
      </c>
      <c r="M9" s="165">
        <v>2196272</v>
      </c>
      <c r="N9" s="66" t="s">
        <v>42</v>
      </c>
    </row>
    <row r="10" spans="1:14" s="64" customFormat="1" ht="15.75" customHeight="1">
      <c r="A10" s="65" t="s">
        <v>43</v>
      </c>
      <c r="B10" s="163">
        <f>_xlfn.COMPOUNDVALUE(517)</f>
        <v>948</v>
      </c>
      <c r="C10" s="164">
        <v>608907</v>
      </c>
      <c r="D10" s="163">
        <f>_xlfn.COMPOUNDVALUE(518)</f>
        <v>2024</v>
      </c>
      <c r="E10" s="164">
        <v>728141</v>
      </c>
      <c r="F10" s="163">
        <f>_xlfn.COMPOUNDVALUE(519)</f>
        <v>2972</v>
      </c>
      <c r="G10" s="164">
        <v>1337048</v>
      </c>
      <c r="H10" s="163">
        <f>_xlfn.COMPOUNDVALUE(520)</f>
        <v>72</v>
      </c>
      <c r="I10" s="165">
        <v>35784</v>
      </c>
      <c r="J10" s="163">
        <v>244</v>
      </c>
      <c r="K10" s="165">
        <v>59386</v>
      </c>
      <c r="L10" s="163">
        <v>3171</v>
      </c>
      <c r="M10" s="165">
        <v>1360650</v>
      </c>
      <c r="N10" s="66" t="s">
        <v>43</v>
      </c>
    </row>
    <row r="11" spans="1:14" s="64" customFormat="1" ht="15.75" customHeight="1">
      <c r="A11" s="65" t="s">
        <v>44</v>
      </c>
      <c r="B11" s="163">
        <f>_xlfn.COMPOUNDVALUE(521)</f>
        <v>1463</v>
      </c>
      <c r="C11" s="164">
        <v>1109277</v>
      </c>
      <c r="D11" s="163">
        <f>_xlfn.COMPOUNDVALUE(522)</f>
        <v>2408</v>
      </c>
      <c r="E11" s="164">
        <v>942167</v>
      </c>
      <c r="F11" s="163">
        <f>_xlfn.COMPOUNDVALUE(523)</f>
        <v>3871</v>
      </c>
      <c r="G11" s="164">
        <v>2051444</v>
      </c>
      <c r="H11" s="163">
        <f>_xlfn.COMPOUNDVALUE(524)</f>
        <v>97</v>
      </c>
      <c r="I11" s="165">
        <v>64295</v>
      </c>
      <c r="J11" s="163">
        <v>281</v>
      </c>
      <c r="K11" s="165">
        <v>76277</v>
      </c>
      <c r="L11" s="163">
        <v>4121</v>
      </c>
      <c r="M11" s="165">
        <v>2063426</v>
      </c>
      <c r="N11" s="66" t="s">
        <v>44</v>
      </c>
    </row>
    <row r="12" spans="1:14" s="64" customFormat="1" ht="15.75" customHeight="1">
      <c r="A12" s="65" t="s">
        <v>45</v>
      </c>
      <c r="B12" s="163">
        <f>_xlfn.COMPOUNDVALUE(525)</f>
        <v>1330</v>
      </c>
      <c r="C12" s="164">
        <v>1339761</v>
      </c>
      <c r="D12" s="163">
        <f>_xlfn.COMPOUNDVALUE(526)</f>
        <v>1803</v>
      </c>
      <c r="E12" s="164">
        <v>756621</v>
      </c>
      <c r="F12" s="163">
        <f>_xlfn.COMPOUNDVALUE(527)</f>
        <v>3133</v>
      </c>
      <c r="G12" s="164">
        <v>2096382</v>
      </c>
      <c r="H12" s="163">
        <f>_xlfn.COMPOUNDVALUE(528)</f>
        <v>149</v>
      </c>
      <c r="I12" s="165">
        <v>124835</v>
      </c>
      <c r="J12" s="163">
        <v>410</v>
      </c>
      <c r="K12" s="165">
        <v>109566</v>
      </c>
      <c r="L12" s="163">
        <v>3534</v>
      </c>
      <c r="M12" s="165">
        <v>2081113</v>
      </c>
      <c r="N12" s="66" t="s">
        <v>46</v>
      </c>
    </row>
    <row r="13" spans="1:14" s="64" customFormat="1" ht="15.75" customHeight="1">
      <c r="A13" s="65" t="s">
        <v>47</v>
      </c>
      <c r="B13" s="163">
        <f>_xlfn.COMPOUNDVALUE(529)</f>
        <v>1215</v>
      </c>
      <c r="C13" s="164">
        <v>715202</v>
      </c>
      <c r="D13" s="163">
        <f>_xlfn.COMPOUNDVALUE(530)</f>
        <v>1637</v>
      </c>
      <c r="E13" s="164">
        <v>668622</v>
      </c>
      <c r="F13" s="163">
        <f>_xlfn.COMPOUNDVALUE(531)</f>
        <v>2852</v>
      </c>
      <c r="G13" s="164">
        <v>1383823</v>
      </c>
      <c r="H13" s="163">
        <f>_xlfn.COMPOUNDVALUE(532)</f>
        <v>75</v>
      </c>
      <c r="I13" s="165">
        <v>56785</v>
      </c>
      <c r="J13" s="163">
        <v>355</v>
      </c>
      <c r="K13" s="165">
        <v>60632</v>
      </c>
      <c r="L13" s="163">
        <v>3075</v>
      </c>
      <c r="M13" s="165">
        <v>1387670</v>
      </c>
      <c r="N13" s="66" t="s">
        <v>47</v>
      </c>
    </row>
    <row r="14" spans="1:14" s="64" customFormat="1" ht="15.75" customHeight="1">
      <c r="A14" s="65" t="s">
        <v>48</v>
      </c>
      <c r="B14" s="163">
        <f>_xlfn.COMPOUNDVALUE(533)</f>
        <v>1711</v>
      </c>
      <c r="C14" s="164">
        <v>1476343</v>
      </c>
      <c r="D14" s="163">
        <f>_xlfn.COMPOUNDVALUE(534)</f>
        <v>2973</v>
      </c>
      <c r="E14" s="164">
        <v>1346789</v>
      </c>
      <c r="F14" s="163">
        <f>_xlfn.COMPOUNDVALUE(535)</f>
        <v>4684</v>
      </c>
      <c r="G14" s="164">
        <v>2823132</v>
      </c>
      <c r="H14" s="163">
        <f>_xlfn.COMPOUNDVALUE(536)</f>
        <v>82</v>
      </c>
      <c r="I14" s="165">
        <v>69528</v>
      </c>
      <c r="J14" s="163">
        <v>397</v>
      </c>
      <c r="K14" s="165">
        <v>101545</v>
      </c>
      <c r="L14" s="163">
        <v>4973</v>
      </c>
      <c r="M14" s="165">
        <v>2855149</v>
      </c>
      <c r="N14" s="66" t="s">
        <v>48</v>
      </c>
    </row>
    <row r="15" spans="1:14" s="64" customFormat="1" ht="15.75" customHeight="1">
      <c r="A15" s="67" t="s">
        <v>49</v>
      </c>
      <c r="B15" s="166">
        <v>11225</v>
      </c>
      <c r="C15" s="167">
        <v>8367506</v>
      </c>
      <c r="D15" s="166">
        <v>16809</v>
      </c>
      <c r="E15" s="167">
        <v>7002164</v>
      </c>
      <c r="F15" s="166">
        <v>28034</v>
      </c>
      <c r="G15" s="167">
        <v>15369670</v>
      </c>
      <c r="H15" s="166">
        <v>780</v>
      </c>
      <c r="I15" s="168">
        <v>594171</v>
      </c>
      <c r="J15" s="166">
        <v>2803</v>
      </c>
      <c r="K15" s="168">
        <v>690123</v>
      </c>
      <c r="L15" s="166">
        <v>30186</v>
      </c>
      <c r="M15" s="168">
        <v>15465622</v>
      </c>
      <c r="N15" s="68" t="s">
        <v>50</v>
      </c>
    </row>
    <row r="16" spans="1:14" s="64" customFormat="1" ht="15.75" customHeight="1">
      <c r="A16" s="69"/>
      <c r="B16" s="169"/>
      <c r="C16" s="170"/>
      <c r="D16" s="169"/>
      <c r="E16" s="170"/>
      <c r="F16" s="171"/>
      <c r="G16" s="170"/>
      <c r="H16" s="171"/>
      <c r="I16" s="170"/>
      <c r="J16" s="171"/>
      <c r="K16" s="170"/>
      <c r="L16" s="171"/>
      <c r="M16" s="170"/>
      <c r="N16" s="70"/>
    </row>
    <row r="17" spans="1:14" s="64" customFormat="1" ht="15.75" customHeight="1">
      <c r="A17" s="62" t="s">
        <v>51</v>
      </c>
      <c r="B17" s="160">
        <f>_xlfn.COMPOUNDVALUE(537)</f>
        <v>1535</v>
      </c>
      <c r="C17" s="161">
        <v>980280</v>
      </c>
      <c r="D17" s="160">
        <f>_xlfn.COMPOUNDVALUE(538)</f>
        <v>2351</v>
      </c>
      <c r="E17" s="161">
        <v>993132</v>
      </c>
      <c r="F17" s="160">
        <f>_xlfn.COMPOUNDVALUE(539)</f>
        <v>3886</v>
      </c>
      <c r="G17" s="161">
        <v>1973412</v>
      </c>
      <c r="H17" s="160">
        <f>_xlfn.COMPOUNDVALUE(540)</f>
        <v>122</v>
      </c>
      <c r="I17" s="162">
        <v>142303</v>
      </c>
      <c r="J17" s="160">
        <v>404</v>
      </c>
      <c r="K17" s="162">
        <v>59520</v>
      </c>
      <c r="L17" s="160">
        <v>4151</v>
      </c>
      <c r="M17" s="162">
        <v>1890629</v>
      </c>
      <c r="N17" s="71" t="s">
        <v>51</v>
      </c>
    </row>
    <row r="18" spans="1:14" s="64" customFormat="1" ht="15.75" customHeight="1">
      <c r="A18" s="65" t="s">
        <v>52</v>
      </c>
      <c r="B18" s="163">
        <f>_xlfn.COMPOUNDVALUE(541)</f>
        <v>445</v>
      </c>
      <c r="C18" s="164">
        <v>310628</v>
      </c>
      <c r="D18" s="163">
        <f>_xlfn.COMPOUNDVALUE(542)</f>
        <v>733</v>
      </c>
      <c r="E18" s="164">
        <v>287350</v>
      </c>
      <c r="F18" s="163">
        <f>_xlfn.COMPOUNDVALUE(543)</f>
        <v>1178</v>
      </c>
      <c r="G18" s="164">
        <v>597978</v>
      </c>
      <c r="H18" s="163">
        <f>_xlfn.COMPOUNDVALUE(544)</f>
        <v>30</v>
      </c>
      <c r="I18" s="165">
        <v>15641</v>
      </c>
      <c r="J18" s="163">
        <v>135</v>
      </c>
      <c r="K18" s="165">
        <v>27789</v>
      </c>
      <c r="L18" s="163">
        <v>1250</v>
      </c>
      <c r="M18" s="165">
        <v>610126</v>
      </c>
      <c r="N18" s="66" t="s">
        <v>52</v>
      </c>
    </row>
    <row r="19" spans="1:14" s="64" customFormat="1" ht="15.75" customHeight="1">
      <c r="A19" s="65" t="s">
        <v>53</v>
      </c>
      <c r="B19" s="163">
        <f>_xlfn.COMPOUNDVALUE(545)</f>
        <v>1310</v>
      </c>
      <c r="C19" s="164">
        <v>762573</v>
      </c>
      <c r="D19" s="163">
        <f>_xlfn.COMPOUNDVALUE(546)</f>
        <v>2325</v>
      </c>
      <c r="E19" s="164">
        <v>899186</v>
      </c>
      <c r="F19" s="163">
        <f>_xlfn.COMPOUNDVALUE(547)</f>
        <v>3635</v>
      </c>
      <c r="G19" s="164">
        <v>1661759</v>
      </c>
      <c r="H19" s="163">
        <f>_xlfn.COMPOUNDVALUE(548)</f>
        <v>124</v>
      </c>
      <c r="I19" s="165">
        <v>74629</v>
      </c>
      <c r="J19" s="163">
        <v>309</v>
      </c>
      <c r="K19" s="165">
        <v>79784</v>
      </c>
      <c r="L19" s="163">
        <v>3958</v>
      </c>
      <c r="M19" s="165">
        <v>1666914</v>
      </c>
      <c r="N19" s="66" t="s">
        <v>53</v>
      </c>
    </row>
    <row r="20" spans="1:14" s="64" customFormat="1" ht="15.75" customHeight="1">
      <c r="A20" s="65" t="s">
        <v>54</v>
      </c>
      <c r="B20" s="163">
        <f>_xlfn.COMPOUNDVALUE(549)</f>
        <v>411</v>
      </c>
      <c r="C20" s="164">
        <v>197250</v>
      </c>
      <c r="D20" s="163">
        <f>_xlfn.COMPOUNDVALUE(550)</f>
        <v>655</v>
      </c>
      <c r="E20" s="164">
        <v>267383</v>
      </c>
      <c r="F20" s="163">
        <f>_xlfn.COMPOUNDVALUE(551)</f>
        <v>1066</v>
      </c>
      <c r="G20" s="164">
        <v>464633</v>
      </c>
      <c r="H20" s="163">
        <f>_xlfn.COMPOUNDVALUE(552)</f>
        <v>44</v>
      </c>
      <c r="I20" s="165">
        <v>35241</v>
      </c>
      <c r="J20" s="163">
        <v>130</v>
      </c>
      <c r="K20" s="165">
        <v>27991</v>
      </c>
      <c r="L20" s="163">
        <v>1158</v>
      </c>
      <c r="M20" s="165">
        <v>457383</v>
      </c>
      <c r="N20" s="66" t="s">
        <v>54</v>
      </c>
    </row>
    <row r="21" spans="1:14" s="64" customFormat="1" ht="15.75" customHeight="1">
      <c r="A21" s="65" t="s">
        <v>55</v>
      </c>
      <c r="B21" s="163">
        <f>_xlfn.COMPOUNDVALUE(553)</f>
        <v>539</v>
      </c>
      <c r="C21" s="164">
        <v>277263</v>
      </c>
      <c r="D21" s="163">
        <f>_xlfn.COMPOUNDVALUE(554)</f>
        <v>1041</v>
      </c>
      <c r="E21" s="164">
        <v>391108</v>
      </c>
      <c r="F21" s="163">
        <f>_xlfn.COMPOUNDVALUE(555)</f>
        <v>1580</v>
      </c>
      <c r="G21" s="164">
        <v>668370</v>
      </c>
      <c r="H21" s="163">
        <f>_xlfn.COMPOUNDVALUE(556)</f>
        <v>55</v>
      </c>
      <c r="I21" s="165">
        <v>38537</v>
      </c>
      <c r="J21" s="163">
        <v>226</v>
      </c>
      <c r="K21" s="165">
        <v>34312</v>
      </c>
      <c r="L21" s="163">
        <v>1728</v>
      </c>
      <c r="M21" s="165">
        <v>664145</v>
      </c>
      <c r="N21" s="66" t="s">
        <v>55</v>
      </c>
    </row>
    <row r="22" spans="1:14" s="64" customFormat="1" ht="15.75" customHeight="1">
      <c r="A22" s="65" t="s">
        <v>56</v>
      </c>
      <c r="B22" s="163">
        <f>_xlfn.COMPOUNDVALUE(557)</f>
        <v>483</v>
      </c>
      <c r="C22" s="164">
        <v>275297</v>
      </c>
      <c r="D22" s="163">
        <f>_xlfn.COMPOUNDVALUE(558)</f>
        <v>1074</v>
      </c>
      <c r="E22" s="164">
        <v>410552</v>
      </c>
      <c r="F22" s="163">
        <f>_xlfn.COMPOUNDVALUE(559)</f>
        <v>1557</v>
      </c>
      <c r="G22" s="164">
        <v>685849</v>
      </c>
      <c r="H22" s="163">
        <f>_xlfn.COMPOUNDVALUE(560)</f>
        <v>53</v>
      </c>
      <c r="I22" s="165">
        <v>52958</v>
      </c>
      <c r="J22" s="163">
        <v>131</v>
      </c>
      <c r="K22" s="165">
        <v>18592</v>
      </c>
      <c r="L22" s="163">
        <v>1663</v>
      </c>
      <c r="M22" s="165">
        <v>651483</v>
      </c>
      <c r="N22" s="66" t="s">
        <v>56</v>
      </c>
    </row>
    <row r="23" spans="1:14" s="64" customFormat="1" ht="15.75" customHeight="1">
      <c r="A23" s="65" t="s">
        <v>57</v>
      </c>
      <c r="B23" s="163">
        <f>_xlfn.COMPOUNDVALUE(561)</f>
        <v>937</v>
      </c>
      <c r="C23" s="164">
        <v>597722</v>
      </c>
      <c r="D23" s="163">
        <f>_xlfn.COMPOUNDVALUE(562)</f>
        <v>1554</v>
      </c>
      <c r="E23" s="164">
        <v>606117</v>
      </c>
      <c r="F23" s="163">
        <f>_xlfn.COMPOUNDVALUE(563)</f>
        <v>2491</v>
      </c>
      <c r="G23" s="164">
        <v>1203839</v>
      </c>
      <c r="H23" s="163">
        <f>_xlfn.COMPOUNDVALUE(564)</f>
        <v>59</v>
      </c>
      <c r="I23" s="165">
        <v>33841</v>
      </c>
      <c r="J23" s="163">
        <v>231</v>
      </c>
      <c r="K23" s="165">
        <v>55553</v>
      </c>
      <c r="L23" s="163">
        <v>2643</v>
      </c>
      <c r="M23" s="165">
        <v>1225551</v>
      </c>
      <c r="N23" s="66" t="s">
        <v>57</v>
      </c>
    </row>
    <row r="24" spans="1:14" s="64" customFormat="1" ht="15.75" customHeight="1">
      <c r="A24" s="65" t="s">
        <v>58</v>
      </c>
      <c r="B24" s="163">
        <f>_xlfn.COMPOUNDVALUE(565)</f>
        <v>498</v>
      </c>
      <c r="C24" s="164">
        <v>310801</v>
      </c>
      <c r="D24" s="163">
        <f>_xlfn.COMPOUNDVALUE(566)</f>
        <v>955</v>
      </c>
      <c r="E24" s="164">
        <v>367007</v>
      </c>
      <c r="F24" s="163">
        <f>_xlfn.COMPOUNDVALUE(567)</f>
        <v>1453</v>
      </c>
      <c r="G24" s="164">
        <v>677808</v>
      </c>
      <c r="H24" s="163">
        <f>_xlfn.COMPOUNDVALUE(568)</f>
        <v>39</v>
      </c>
      <c r="I24" s="165">
        <v>25962</v>
      </c>
      <c r="J24" s="163">
        <v>166</v>
      </c>
      <c r="K24" s="165">
        <v>33122</v>
      </c>
      <c r="L24" s="163">
        <v>1570</v>
      </c>
      <c r="M24" s="165">
        <v>684968</v>
      </c>
      <c r="N24" s="66" t="s">
        <v>58</v>
      </c>
    </row>
    <row r="25" spans="1:14" s="64" customFormat="1" ht="15.75" customHeight="1">
      <c r="A25" s="67" t="s">
        <v>59</v>
      </c>
      <c r="B25" s="166">
        <v>6158</v>
      </c>
      <c r="C25" s="167">
        <v>3711814</v>
      </c>
      <c r="D25" s="166">
        <v>10688</v>
      </c>
      <c r="E25" s="167">
        <v>4221834</v>
      </c>
      <c r="F25" s="166">
        <v>16846</v>
      </c>
      <c r="G25" s="167">
        <v>7933649</v>
      </c>
      <c r="H25" s="166">
        <v>526</v>
      </c>
      <c r="I25" s="168">
        <v>419112</v>
      </c>
      <c r="J25" s="166">
        <v>1732</v>
      </c>
      <c r="K25" s="168">
        <v>336664</v>
      </c>
      <c r="L25" s="166">
        <v>18121</v>
      </c>
      <c r="M25" s="168">
        <v>7851200</v>
      </c>
      <c r="N25" s="68" t="s">
        <v>60</v>
      </c>
    </row>
    <row r="26" spans="1:14" s="64" customFormat="1" ht="15.75" customHeight="1">
      <c r="A26" s="69"/>
      <c r="B26" s="169"/>
      <c r="C26" s="170"/>
      <c r="D26" s="169"/>
      <c r="E26" s="170"/>
      <c r="F26" s="171"/>
      <c r="G26" s="170"/>
      <c r="H26" s="171"/>
      <c r="I26" s="170"/>
      <c r="J26" s="171"/>
      <c r="K26" s="170"/>
      <c r="L26" s="171"/>
      <c r="M26" s="170"/>
      <c r="N26" s="70"/>
    </row>
    <row r="27" spans="1:14" s="64" customFormat="1" ht="15.75" customHeight="1">
      <c r="A27" s="62" t="s">
        <v>61</v>
      </c>
      <c r="B27" s="160">
        <f>_xlfn.COMPOUNDVALUE(569)</f>
        <v>1221</v>
      </c>
      <c r="C27" s="161">
        <v>738055</v>
      </c>
      <c r="D27" s="160">
        <f>_xlfn.COMPOUNDVALUE(570)</f>
        <v>1556</v>
      </c>
      <c r="E27" s="161">
        <v>640658</v>
      </c>
      <c r="F27" s="160">
        <f>_xlfn.COMPOUNDVALUE(571)</f>
        <v>2777</v>
      </c>
      <c r="G27" s="161">
        <v>1378712</v>
      </c>
      <c r="H27" s="160">
        <f>_xlfn.COMPOUNDVALUE(572)</f>
        <v>90</v>
      </c>
      <c r="I27" s="162">
        <v>96191</v>
      </c>
      <c r="J27" s="160">
        <v>250</v>
      </c>
      <c r="K27" s="162">
        <v>53680</v>
      </c>
      <c r="L27" s="160">
        <v>2979</v>
      </c>
      <c r="M27" s="162">
        <v>1336201</v>
      </c>
      <c r="N27" s="71" t="s">
        <v>61</v>
      </c>
    </row>
    <row r="28" spans="1:14" s="64" customFormat="1" ht="15.75" customHeight="1">
      <c r="A28" s="62" t="s">
        <v>62</v>
      </c>
      <c r="B28" s="160">
        <f>_xlfn.COMPOUNDVALUE(573)</f>
        <v>1635</v>
      </c>
      <c r="C28" s="161">
        <v>1046645</v>
      </c>
      <c r="D28" s="160">
        <f>_xlfn.COMPOUNDVALUE(574)</f>
        <v>2451</v>
      </c>
      <c r="E28" s="161">
        <v>977989</v>
      </c>
      <c r="F28" s="160">
        <f>_xlfn.COMPOUNDVALUE(575)</f>
        <v>4086</v>
      </c>
      <c r="G28" s="161">
        <v>2024634</v>
      </c>
      <c r="H28" s="160">
        <f>_xlfn.COMPOUNDVALUE(576)</f>
        <v>127</v>
      </c>
      <c r="I28" s="162">
        <v>104220</v>
      </c>
      <c r="J28" s="160">
        <v>382</v>
      </c>
      <c r="K28" s="162">
        <v>62459</v>
      </c>
      <c r="L28" s="160">
        <v>4363</v>
      </c>
      <c r="M28" s="162">
        <v>1982873</v>
      </c>
      <c r="N28" s="63" t="s">
        <v>62</v>
      </c>
    </row>
    <row r="29" spans="1:14" s="64" customFormat="1" ht="15.75" customHeight="1">
      <c r="A29" s="65" t="s">
        <v>63</v>
      </c>
      <c r="B29" s="163">
        <f>_xlfn.COMPOUNDVALUE(577)</f>
        <v>701</v>
      </c>
      <c r="C29" s="164">
        <v>376349</v>
      </c>
      <c r="D29" s="163">
        <f>_xlfn.COMPOUNDVALUE(578)</f>
        <v>1058</v>
      </c>
      <c r="E29" s="164">
        <v>410876</v>
      </c>
      <c r="F29" s="163">
        <f>_xlfn.COMPOUNDVALUE(579)</f>
        <v>1759</v>
      </c>
      <c r="G29" s="164">
        <v>787225</v>
      </c>
      <c r="H29" s="163">
        <f>_xlfn.COMPOUNDVALUE(580)</f>
        <v>29</v>
      </c>
      <c r="I29" s="165">
        <v>5961</v>
      </c>
      <c r="J29" s="163">
        <v>120</v>
      </c>
      <c r="K29" s="165">
        <v>20145</v>
      </c>
      <c r="L29" s="163">
        <v>1855</v>
      </c>
      <c r="M29" s="165">
        <v>801409</v>
      </c>
      <c r="N29" s="66" t="s">
        <v>63</v>
      </c>
    </row>
    <row r="30" spans="1:14" s="64" customFormat="1" ht="15.75" customHeight="1">
      <c r="A30" s="65" t="s">
        <v>64</v>
      </c>
      <c r="B30" s="163">
        <f>_xlfn.COMPOUNDVALUE(581)</f>
        <v>862</v>
      </c>
      <c r="C30" s="164">
        <v>515136</v>
      </c>
      <c r="D30" s="163">
        <f>_xlfn.COMPOUNDVALUE(582)</f>
        <v>1234</v>
      </c>
      <c r="E30" s="164">
        <v>483573</v>
      </c>
      <c r="F30" s="163">
        <f>_xlfn.COMPOUNDVALUE(583)</f>
        <v>2096</v>
      </c>
      <c r="G30" s="164">
        <v>998708</v>
      </c>
      <c r="H30" s="163">
        <f>_xlfn.COMPOUNDVALUE(584)</f>
        <v>67</v>
      </c>
      <c r="I30" s="165">
        <v>64358</v>
      </c>
      <c r="J30" s="163">
        <v>252</v>
      </c>
      <c r="K30" s="165">
        <v>77110</v>
      </c>
      <c r="L30" s="163">
        <v>2256</v>
      </c>
      <c r="M30" s="165">
        <v>1011460</v>
      </c>
      <c r="N30" s="66" t="s">
        <v>64</v>
      </c>
    </row>
    <row r="31" spans="1:14" s="64" customFormat="1" ht="15.75" customHeight="1">
      <c r="A31" s="65" t="s">
        <v>65</v>
      </c>
      <c r="B31" s="163">
        <f>_xlfn.COMPOUNDVALUE(585)</f>
        <v>484</v>
      </c>
      <c r="C31" s="164">
        <v>405040</v>
      </c>
      <c r="D31" s="163">
        <f>_xlfn.COMPOUNDVALUE(586)</f>
        <v>900</v>
      </c>
      <c r="E31" s="164">
        <v>355568</v>
      </c>
      <c r="F31" s="163">
        <f>_xlfn.COMPOUNDVALUE(587)</f>
        <v>1384</v>
      </c>
      <c r="G31" s="164">
        <v>760607</v>
      </c>
      <c r="H31" s="163">
        <f>_xlfn.COMPOUNDVALUE(588)</f>
        <v>26</v>
      </c>
      <c r="I31" s="165">
        <v>9137</v>
      </c>
      <c r="J31" s="163">
        <v>155</v>
      </c>
      <c r="K31" s="165">
        <v>28642</v>
      </c>
      <c r="L31" s="163">
        <v>1461</v>
      </c>
      <c r="M31" s="165">
        <v>780112</v>
      </c>
      <c r="N31" s="66" t="s">
        <v>65</v>
      </c>
    </row>
    <row r="32" spans="1:14" s="64" customFormat="1" ht="15.75" customHeight="1">
      <c r="A32" s="65" t="s">
        <v>66</v>
      </c>
      <c r="B32" s="163">
        <f>_xlfn.COMPOUNDVALUE(589)</f>
        <v>1356</v>
      </c>
      <c r="C32" s="164">
        <v>800937</v>
      </c>
      <c r="D32" s="163">
        <f>_xlfn.COMPOUNDVALUE(590)</f>
        <v>2214</v>
      </c>
      <c r="E32" s="164">
        <v>882729</v>
      </c>
      <c r="F32" s="163">
        <f>_xlfn.COMPOUNDVALUE(591)</f>
        <v>3570</v>
      </c>
      <c r="G32" s="164">
        <v>1683665</v>
      </c>
      <c r="H32" s="163">
        <f>_xlfn.COMPOUNDVALUE(592)</f>
        <v>104</v>
      </c>
      <c r="I32" s="165">
        <v>116165</v>
      </c>
      <c r="J32" s="163">
        <v>339</v>
      </c>
      <c r="K32" s="165">
        <v>66072</v>
      </c>
      <c r="L32" s="163">
        <v>3843</v>
      </c>
      <c r="M32" s="165">
        <v>1633572</v>
      </c>
      <c r="N32" s="66" t="s">
        <v>66</v>
      </c>
    </row>
    <row r="33" spans="1:14" s="64" customFormat="1" ht="15.75" customHeight="1">
      <c r="A33" s="65" t="s">
        <v>67</v>
      </c>
      <c r="B33" s="163">
        <f>_xlfn.COMPOUNDVALUE(593)</f>
        <v>203</v>
      </c>
      <c r="C33" s="164">
        <v>120211</v>
      </c>
      <c r="D33" s="163">
        <f>_xlfn.COMPOUNDVALUE(594)</f>
        <v>334</v>
      </c>
      <c r="E33" s="164">
        <v>120731</v>
      </c>
      <c r="F33" s="163">
        <f>_xlfn.COMPOUNDVALUE(595)</f>
        <v>537</v>
      </c>
      <c r="G33" s="164">
        <v>240942</v>
      </c>
      <c r="H33" s="163">
        <f>_xlfn.COMPOUNDVALUE(596)</f>
        <v>10</v>
      </c>
      <c r="I33" s="165">
        <v>22845</v>
      </c>
      <c r="J33" s="163">
        <v>38</v>
      </c>
      <c r="K33" s="165">
        <v>8885</v>
      </c>
      <c r="L33" s="163">
        <v>557</v>
      </c>
      <c r="M33" s="165">
        <v>226982</v>
      </c>
      <c r="N33" s="66" t="s">
        <v>67</v>
      </c>
    </row>
    <row r="34" spans="1:14" s="64" customFormat="1" ht="15.75" customHeight="1">
      <c r="A34" s="65" t="s">
        <v>68</v>
      </c>
      <c r="B34" s="163">
        <f>_xlfn.COMPOUNDVALUE(597)</f>
        <v>306</v>
      </c>
      <c r="C34" s="164">
        <v>162979</v>
      </c>
      <c r="D34" s="163">
        <f>_xlfn.COMPOUNDVALUE(598)</f>
        <v>621</v>
      </c>
      <c r="E34" s="164">
        <v>221096</v>
      </c>
      <c r="F34" s="163">
        <f>_xlfn.COMPOUNDVALUE(599)</f>
        <v>927</v>
      </c>
      <c r="G34" s="164">
        <v>384075</v>
      </c>
      <c r="H34" s="163">
        <f>_xlfn.COMPOUNDVALUE(600)</f>
        <v>27</v>
      </c>
      <c r="I34" s="165">
        <v>11215</v>
      </c>
      <c r="J34" s="163">
        <v>63</v>
      </c>
      <c r="K34" s="165">
        <v>9003</v>
      </c>
      <c r="L34" s="163">
        <v>969</v>
      </c>
      <c r="M34" s="165">
        <v>381863</v>
      </c>
      <c r="N34" s="66" t="s">
        <v>68</v>
      </c>
    </row>
    <row r="35" spans="1:14" s="64" customFormat="1" ht="15.75" customHeight="1">
      <c r="A35" s="65" t="s">
        <v>69</v>
      </c>
      <c r="B35" s="163">
        <f>_xlfn.COMPOUNDVALUE(601)</f>
        <v>342</v>
      </c>
      <c r="C35" s="164">
        <v>314271</v>
      </c>
      <c r="D35" s="163">
        <f>_xlfn.COMPOUNDVALUE(602)</f>
        <v>638</v>
      </c>
      <c r="E35" s="164">
        <v>285512</v>
      </c>
      <c r="F35" s="163">
        <f>_xlfn.COMPOUNDVALUE(603)</f>
        <v>980</v>
      </c>
      <c r="G35" s="164">
        <v>599782</v>
      </c>
      <c r="H35" s="163">
        <f>_xlfn.COMPOUNDVALUE(604)</f>
        <v>19</v>
      </c>
      <c r="I35" s="165">
        <v>5619</v>
      </c>
      <c r="J35" s="163">
        <v>30</v>
      </c>
      <c r="K35" s="165">
        <v>13333</v>
      </c>
      <c r="L35" s="163">
        <v>1018</v>
      </c>
      <c r="M35" s="165">
        <v>607496</v>
      </c>
      <c r="N35" s="66" t="s">
        <v>69</v>
      </c>
    </row>
    <row r="36" spans="1:14" s="64" customFormat="1" ht="15.75" customHeight="1">
      <c r="A36" s="67" t="s">
        <v>70</v>
      </c>
      <c r="B36" s="166">
        <v>7110</v>
      </c>
      <c r="C36" s="167">
        <v>4479622</v>
      </c>
      <c r="D36" s="166">
        <v>11006</v>
      </c>
      <c r="E36" s="167">
        <v>4378729</v>
      </c>
      <c r="F36" s="166">
        <v>18116</v>
      </c>
      <c r="G36" s="167">
        <v>8858351</v>
      </c>
      <c r="H36" s="166">
        <v>499</v>
      </c>
      <c r="I36" s="168">
        <v>435712</v>
      </c>
      <c r="J36" s="166">
        <v>1629</v>
      </c>
      <c r="K36" s="168">
        <v>339328</v>
      </c>
      <c r="L36" s="166">
        <v>19301</v>
      </c>
      <c r="M36" s="168">
        <v>8761967</v>
      </c>
      <c r="N36" s="68" t="s">
        <v>71</v>
      </c>
    </row>
    <row r="37" spans="1:14" s="64" customFormat="1" ht="15.75" customHeight="1">
      <c r="A37" s="69"/>
      <c r="B37" s="169"/>
      <c r="C37" s="170"/>
      <c r="D37" s="169"/>
      <c r="E37" s="170"/>
      <c r="F37" s="171"/>
      <c r="G37" s="170"/>
      <c r="H37" s="171"/>
      <c r="I37" s="170"/>
      <c r="J37" s="171"/>
      <c r="K37" s="170"/>
      <c r="L37" s="171"/>
      <c r="M37" s="170"/>
      <c r="N37" s="70"/>
    </row>
    <row r="38" spans="1:14" s="64" customFormat="1" ht="15.75" customHeight="1">
      <c r="A38" s="62" t="s">
        <v>72</v>
      </c>
      <c r="B38" s="160">
        <f>_xlfn.COMPOUNDVALUE(605)</f>
        <v>2251</v>
      </c>
      <c r="C38" s="161">
        <v>1361204</v>
      </c>
      <c r="D38" s="160">
        <f>_xlfn.COMPOUNDVALUE(606)</f>
        <v>3626</v>
      </c>
      <c r="E38" s="161">
        <v>1619649</v>
      </c>
      <c r="F38" s="160">
        <f>_xlfn.COMPOUNDVALUE(607)</f>
        <v>5877</v>
      </c>
      <c r="G38" s="161">
        <v>2980853</v>
      </c>
      <c r="H38" s="160">
        <f>_xlfn.COMPOUNDVALUE(608)</f>
        <v>181</v>
      </c>
      <c r="I38" s="162">
        <v>281246</v>
      </c>
      <c r="J38" s="160">
        <v>552</v>
      </c>
      <c r="K38" s="162">
        <v>121921</v>
      </c>
      <c r="L38" s="160">
        <v>6396</v>
      </c>
      <c r="M38" s="162">
        <v>2821528</v>
      </c>
      <c r="N38" s="71" t="s">
        <v>72</v>
      </c>
    </row>
    <row r="39" spans="1:14" s="64" customFormat="1" ht="15.75" customHeight="1">
      <c r="A39" s="62" t="s">
        <v>73</v>
      </c>
      <c r="B39" s="160">
        <f>_xlfn.COMPOUNDVALUE(609)</f>
        <v>1070</v>
      </c>
      <c r="C39" s="161">
        <v>683415</v>
      </c>
      <c r="D39" s="160">
        <f>_xlfn.COMPOUNDVALUE(610)</f>
        <v>2069</v>
      </c>
      <c r="E39" s="161">
        <v>779183</v>
      </c>
      <c r="F39" s="160">
        <f>_xlfn.COMPOUNDVALUE(611)</f>
        <v>3139</v>
      </c>
      <c r="G39" s="161">
        <v>1462599</v>
      </c>
      <c r="H39" s="160">
        <f>_xlfn.COMPOUNDVALUE(612)</f>
        <v>83</v>
      </c>
      <c r="I39" s="162">
        <v>71709</v>
      </c>
      <c r="J39" s="160">
        <v>186</v>
      </c>
      <c r="K39" s="162">
        <v>48486</v>
      </c>
      <c r="L39" s="160">
        <v>3319</v>
      </c>
      <c r="M39" s="162">
        <v>1439376</v>
      </c>
      <c r="N39" s="63" t="s">
        <v>73</v>
      </c>
    </row>
    <row r="40" spans="1:14" s="64" customFormat="1" ht="15.75" customHeight="1">
      <c r="A40" s="62" t="s">
        <v>74</v>
      </c>
      <c r="B40" s="160">
        <f>_xlfn.COMPOUNDVALUE(613)</f>
        <v>1948</v>
      </c>
      <c r="C40" s="161">
        <v>1186084</v>
      </c>
      <c r="D40" s="160">
        <f>_xlfn.COMPOUNDVALUE(614)</f>
        <v>3249</v>
      </c>
      <c r="E40" s="161">
        <v>1484779</v>
      </c>
      <c r="F40" s="160">
        <f>_xlfn.COMPOUNDVALUE(615)</f>
        <v>5197</v>
      </c>
      <c r="G40" s="161">
        <v>2670863</v>
      </c>
      <c r="H40" s="160">
        <f>_xlfn.COMPOUNDVALUE(616)</f>
        <v>166</v>
      </c>
      <c r="I40" s="162">
        <v>362709</v>
      </c>
      <c r="J40" s="160">
        <v>786</v>
      </c>
      <c r="K40" s="162">
        <v>226005</v>
      </c>
      <c r="L40" s="160">
        <v>5718</v>
      </c>
      <c r="M40" s="162">
        <v>2534159</v>
      </c>
      <c r="N40" s="63" t="s">
        <v>74</v>
      </c>
    </row>
    <row r="41" spans="1:14" s="64" customFormat="1" ht="15.75" customHeight="1">
      <c r="A41" s="62" t="s">
        <v>75</v>
      </c>
      <c r="B41" s="160">
        <f>_xlfn.COMPOUNDVALUE(617)</f>
        <v>1014</v>
      </c>
      <c r="C41" s="161">
        <v>683164</v>
      </c>
      <c r="D41" s="160">
        <f>_xlfn.COMPOUNDVALUE(618)</f>
        <v>1438</v>
      </c>
      <c r="E41" s="161">
        <v>697216</v>
      </c>
      <c r="F41" s="160">
        <f>_xlfn.COMPOUNDVALUE(619)</f>
        <v>2452</v>
      </c>
      <c r="G41" s="161">
        <v>1380380</v>
      </c>
      <c r="H41" s="160">
        <f>_xlfn.COMPOUNDVALUE(620)</f>
        <v>95</v>
      </c>
      <c r="I41" s="162">
        <v>179377</v>
      </c>
      <c r="J41" s="160">
        <v>330</v>
      </c>
      <c r="K41" s="162">
        <v>83027</v>
      </c>
      <c r="L41" s="160">
        <v>2739</v>
      </c>
      <c r="M41" s="162">
        <v>1284030</v>
      </c>
      <c r="N41" s="63" t="s">
        <v>75</v>
      </c>
    </row>
    <row r="42" spans="1:14" s="64" customFormat="1" ht="15.75" customHeight="1">
      <c r="A42" s="62" t="s">
        <v>76</v>
      </c>
      <c r="B42" s="160">
        <f>_xlfn.COMPOUNDVALUE(621)</f>
        <v>1507</v>
      </c>
      <c r="C42" s="161">
        <v>1352573</v>
      </c>
      <c r="D42" s="160">
        <f>_xlfn.COMPOUNDVALUE(622)</f>
        <v>2653</v>
      </c>
      <c r="E42" s="161">
        <v>1431652</v>
      </c>
      <c r="F42" s="160">
        <f>_xlfn.COMPOUNDVALUE(623)</f>
        <v>4160</v>
      </c>
      <c r="G42" s="161">
        <v>2784224</v>
      </c>
      <c r="H42" s="160">
        <f>_xlfn.COMPOUNDVALUE(624)</f>
        <v>116</v>
      </c>
      <c r="I42" s="162">
        <v>235143</v>
      </c>
      <c r="J42" s="160">
        <v>412</v>
      </c>
      <c r="K42" s="162">
        <v>81080</v>
      </c>
      <c r="L42" s="160">
        <v>4485</v>
      </c>
      <c r="M42" s="162">
        <v>2630161</v>
      </c>
      <c r="N42" s="63" t="s">
        <v>76</v>
      </c>
    </row>
    <row r="43" spans="1:14" s="64" customFormat="1" ht="15.75" customHeight="1">
      <c r="A43" s="62" t="s">
        <v>77</v>
      </c>
      <c r="B43" s="160">
        <f>_xlfn.COMPOUNDVALUE(625)</f>
        <v>1207</v>
      </c>
      <c r="C43" s="161">
        <v>993022</v>
      </c>
      <c r="D43" s="160">
        <f>_xlfn.COMPOUNDVALUE(626)</f>
        <v>2023</v>
      </c>
      <c r="E43" s="161">
        <v>1077154</v>
      </c>
      <c r="F43" s="160">
        <f>_xlfn.COMPOUNDVALUE(627)</f>
        <v>3230</v>
      </c>
      <c r="G43" s="161">
        <v>2070175</v>
      </c>
      <c r="H43" s="160">
        <f>_xlfn.COMPOUNDVALUE(628)</f>
        <v>105</v>
      </c>
      <c r="I43" s="162">
        <v>224420</v>
      </c>
      <c r="J43" s="160">
        <v>349</v>
      </c>
      <c r="K43" s="162">
        <v>86209</v>
      </c>
      <c r="L43" s="160">
        <v>3506</v>
      </c>
      <c r="M43" s="162">
        <v>1931964</v>
      </c>
      <c r="N43" s="63" t="s">
        <v>77</v>
      </c>
    </row>
    <row r="44" spans="1:14" s="64" customFormat="1" ht="15.75" customHeight="1">
      <c r="A44" s="62" t="s">
        <v>78</v>
      </c>
      <c r="B44" s="160">
        <f>_xlfn.COMPOUNDVALUE(629)</f>
        <v>680</v>
      </c>
      <c r="C44" s="161">
        <v>377128</v>
      </c>
      <c r="D44" s="160">
        <f>_xlfn.COMPOUNDVALUE(630)</f>
        <v>1209</v>
      </c>
      <c r="E44" s="161">
        <v>449752</v>
      </c>
      <c r="F44" s="160">
        <f>_xlfn.COMPOUNDVALUE(631)</f>
        <v>1889</v>
      </c>
      <c r="G44" s="161">
        <v>826880</v>
      </c>
      <c r="H44" s="160">
        <f>_xlfn.COMPOUNDVALUE(632)</f>
        <v>63</v>
      </c>
      <c r="I44" s="162">
        <v>55842</v>
      </c>
      <c r="J44" s="160">
        <v>130</v>
      </c>
      <c r="K44" s="162">
        <v>25616</v>
      </c>
      <c r="L44" s="160">
        <v>2023</v>
      </c>
      <c r="M44" s="162">
        <v>796654</v>
      </c>
      <c r="N44" s="63" t="s">
        <v>78</v>
      </c>
    </row>
    <row r="45" spans="1:14" s="64" customFormat="1" ht="15.75" customHeight="1">
      <c r="A45" s="62" t="s">
        <v>79</v>
      </c>
      <c r="B45" s="160">
        <f>_xlfn.COMPOUNDVALUE(633)</f>
        <v>322</v>
      </c>
      <c r="C45" s="161">
        <v>204945</v>
      </c>
      <c r="D45" s="160">
        <f>_xlfn.COMPOUNDVALUE(634)</f>
        <v>589</v>
      </c>
      <c r="E45" s="161">
        <v>216321</v>
      </c>
      <c r="F45" s="160">
        <f>_xlfn.COMPOUNDVALUE(635)</f>
        <v>911</v>
      </c>
      <c r="G45" s="161">
        <v>421266</v>
      </c>
      <c r="H45" s="160">
        <f>_xlfn.COMPOUNDVALUE(636)</f>
        <v>13</v>
      </c>
      <c r="I45" s="162">
        <v>10214</v>
      </c>
      <c r="J45" s="160">
        <v>90</v>
      </c>
      <c r="K45" s="162">
        <v>18223</v>
      </c>
      <c r="L45" s="160">
        <v>966</v>
      </c>
      <c r="M45" s="162">
        <v>429275</v>
      </c>
      <c r="N45" s="63" t="s">
        <v>79</v>
      </c>
    </row>
    <row r="46" spans="1:14" s="64" customFormat="1" ht="15.75" customHeight="1">
      <c r="A46" s="65" t="s">
        <v>80</v>
      </c>
      <c r="B46" s="163">
        <f>_xlfn.COMPOUNDVALUE(637)</f>
        <v>1657</v>
      </c>
      <c r="C46" s="164">
        <v>1205885</v>
      </c>
      <c r="D46" s="163">
        <f>_xlfn.COMPOUNDVALUE(638)</f>
        <v>3072</v>
      </c>
      <c r="E46" s="164">
        <v>1346696</v>
      </c>
      <c r="F46" s="163">
        <f>_xlfn.COMPOUNDVALUE(639)</f>
        <v>4729</v>
      </c>
      <c r="G46" s="164">
        <v>2552581</v>
      </c>
      <c r="H46" s="163">
        <f>_xlfn.COMPOUNDVALUE(640)</f>
        <v>142</v>
      </c>
      <c r="I46" s="165">
        <v>176740</v>
      </c>
      <c r="J46" s="163">
        <v>487</v>
      </c>
      <c r="K46" s="165">
        <v>88577</v>
      </c>
      <c r="L46" s="163">
        <v>5111</v>
      </c>
      <c r="M46" s="165">
        <v>2464418</v>
      </c>
      <c r="N46" s="66" t="s">
        <v>80</v>
      </c>
    </row>
    <row r="47" spans="1:14" s="64" customFormat="1" ht="15.75" customHeight="1">
      <c r="A47" s="65" t="s">
        <v>81</v>
      </c>
      <c r="B47" s="163">
        <f>_xlfn.COMPOUNDVALUE(641)</f>
        <v>474</v>
      </c>
      <c r="C47" s="164">
        <v>263857</v>
      </c>
      <c r="D47" s="163">
        <f>_xlfn.COMPOUNDVALUE(642)</f>
        <v>787</v>
      </c>
      <c r="E47" s="164">
        <v>305681</v>
      </c>
      <c r="F47" s="163">
        <f>_xlfn.COMPOUNDVALUE(643)</f>
        <v>1261</v>
      </c>
      <c r="G47" s="164">
        <v>569538</v>
      </c>
      <c r="H47" s="163">
        <f>_xlfn.COMPOUNDVALUE(644)</f>
        <v>34</v>
      </c>
      <c r="I47" s="165">
        <v>21301</v>
      </c>
      <c r="J47" s="163">
        <v>94</v>
      </c>
      <c r="K47" s="165">
        <v>19186</v>
      </c>
      <c r="L47" s="163">
        <v>1340</v>
      </c>
      <c r="M47" s="165">
        <v>567423</v>
      </c>
      <c r="N47" s="66" t="s">
        <v>81</v>
      </c>
    </row>
    <row r="48" spans="1:14" s="64" customFormat="1" ht="15.75" customHeight="1">
      <c r="A48" s="65" t="s">
        <v>82</v>
      </c>
      <c r="B48" s="163">
        <f>_xlfn.COMPOUNDVALUE(645)</f>
        <v>521</v>
      </c>
      <c r="C48" s="164">
        <v>329321</v>
      </c>
      <c r="D48" s="163">
        <f>_xlfn.COMPOUNDVALUE(646)</f>
        <v>927</v>
      </c>
      <c r="E48" s="164">
        <v>347891</v>
      </c>
      <c r="F48" s="163">
        <f>_xlfn.COMPOUNDVALUE(647)</f>
        <v>1448</v>
      </c>
      <c r="G48" s="164">
        <v>677213</v>
      </c>
      <c r="H48" s="163">
        <f>_xlfn.COMPOUNDVALUE(648)</f>
        <v>38</v>
      </c>
      <c r="I48" s="165">
        <v>33629</v>
      </c>
      <c r="J48" s="163">
        <v>162</v>
      </c>
      <c r="K48" s="165">
        <v>25973</v>
      </c>
      <c r="L48" s="163">
        <v>1555</v>
      </c>
      <c r="M48" s="165">
        <v>669557</v>
      </c>
      <c r="N48" s="66" t="s">
        <v>82</v>
      </c>
    </row>
    <row r="49" spans="1:14" s="64" customFormat="1" ht="15.75" customHeight="1">
      <c r="A49" s="65" t="s">
        <v>83</v>
      </c>
      <c r="B49" s="163">
        <f>_xlfn.COMPOUNDVALUE(649)</f>
        <v>1885</v>
      </c>
      <c r="C49" s="164">
        <v>1065188</v>
      </c>
      <c r="D49" s="163">
        <f>_xlfn.COMPOUNDVALUE(650)</f>
        <v>3252</v>
      </c>
      <c r="E49" s="164">
        <v>1366232</v>
      </c>
      <c r="F49" s="163">
        <f>_xlfn.COMPOUNDVALUE(651)</f>
        <v>5137</v>
      </c>
      <c r="G49" s="164">
        <v>2431420</v>
      </c>
      <c r="H49" s="163">
        <f>_xlfn.COMPOUNDVALUE(652)</f>
        <v>150</v>
      </c>
      <c r="I49" s="165">
        <v>150621</v>
      </c>
      <c r="J49" s="163">
        <v>509</v>
      </c>
      <c r="K49" s="165">
        <v>129466</v>
      </c>
      <c r="L49" s="163">
        <v>5611</v>
      </c>
      <c r="M49" s="165">
        <v>2410265</v>
      </c>
      <c r="N49" s="66" t="s">
        <v>83</v>
      </c>
    </row>
    <row r="50" spans="1:14" s="64" customFormat="1" ht="15.75" customHeight="1">
      <c r="A50" s="65" t="s">
        <v>84</v>
      </c>
      <c r="B50" s="163">
        <f>_xlfn.COMPOUNDVALUE(653)</f>
        <v>1182</v>
      </c>
      <c r="C50" s="164">
        <v>690863</v>
      </c>
      <c r="D50" s="163">
        <f>_xlfn.COMPOUNDVALUE(654)</f>
        <v>1881</v>
      </c>
      <c r="E50" s="164">
        <v>797622</v>
      </c>
      <c r="F50" s="163">
        <f>_xlfn.COMPOUNDVALUE(655)</f>
        <v>3063</v>
      </c>
      <c r="G50" s="164">
        <v>1488485</v>
      </c>
      <c r="H50" s="163">
        <f>_xlfn.COMPOUNDVALUE(656)</f>
        <v>80</v>
      </c>
      <c r="I50" s="165">
        <v>90463</v>
      </c>
      <c r="J50" s="163">
        <v>384</v>
      </c>
      <c r="K50" s="165">
        <v>95035</v>
      </c>
      <c r="L50" s="163">
        <v>3404</v>
      </c>
      <c r="M50" s="165">
        <v>1493057</v>
      </c>
      <c r="N50" s="66" t="s">
        <v>84</v>
      </c>
    </row>
    <row r="51" spans="1:14" s="64" customFormat="1" ht="15.75" customHeight="1">
      <c r="A51" s="65" t="s">
        <v>85</v>
      </c>
      <c r="B51" s="163">
        <f>_xlfn.COMPOUNDVALUE(657)</f>
        <v>1944</v>
      </c>
      <c r="C51" s="164">
        <v>1099160</v>
      </c>
      <c r="D51" s="163">
        <f>_xlfn.COMPOUNDVALUE(658)</f>
        <v>3113</v>
      </c>
      <c r="E51" s="164">
        <v>1441243</v>
      </c>
      <c r="F51" s="163">
        <f>_xlfn.COMPOUNDVALUE(659)</f>
        <v>5057</v>
      </c>
      <c r="G51" s="164">
        <v>2540403</v>
      </c>
      <c r="H51" s="163">
        <f>_xlfn.COMPOUNDVALUE(660)</f>
        <v>148</v>
      </c>
      <c r="I51" s="165">
        <v>214501</v>
      </c>
      <c r="J51" s="163">
        <v>569</v>
      </c>
      <c r="K51" s="165">
        <v>192313</v>
      </c>
      <c r="L51" s="163">
        <v>5602</v>
      </c>
      <c r="M51" s="165">
        <v>2518215</v>
      </c>
      <c r="N51" s="66" t="s">
        <v>85</v>
      </c>
    </row>
    <row r="52" spans="1:14" s="64" customFormat="1" ht="15.75" customHeight="1">
      <c r="A52" s="65" t="s">
        <v>86</v>
      </c>
      <c r="B52" s="163">
        <f>_xlfn.COMPOUNDVALUE(661)</f>
        <v>1169</v>
      </c>
      <c r="C52" s="164">
        <v>846888</v>
      </c>
      <c r="D52" s="163">
        <f>_xlfn.COMPOUNDVALUE(662)</f>
        <v>2004</v>
      </c>
      <c r="E52" s="164">
        <v>997163</v>
      </c>
      <c r="F52" s="163">
        <f>_xlfn.COMPOUNDVALUE(663)</f>
        <v>3173</v>
      </c>
      <c r="G52" s="164">
        <v>1844051</v>
      </c>
      <c r="H52" s="163">
        <f>_xlfn.COMPOUNDVALUE(664)</f>
        <v>129</v>
      </c>
      <c r="I52" s="165">
        <v>249088</v>
      </c>
      <c r="J52" s="163">
        <v>339</v>
      </c>
      <c r="K52" s="165">
        <v>90774</v>
      </c>
      <c r="L52" s="163">
        <v>3502</v>
      </c>
      <c r="M52" s="165">
        <v>1685737</v>
      </c>
      <c r="N52" s="66" t="s">
        <v>86</v>
      </c>
    </row>
    <row r="53" spans="1:14" s="64" customFormat="1" ht="15.75" customHeight="1">
      <c r="A53" s="67" t="s">
        <v>87</v>
      </c>
      <c r="B53" s="166">
        <v>18831</v>
      </c>
      <c r="C53" s="167">
        <v>12342698</v>
      </c>
      <c r="D53" s="166">
        <v>31892</v>
      </c>
      <c r="E53" s="167">
        <v>14358233</v>
      </c>
      <c r="F53" s="166">
        <v>50723</v>
      </c>
      <c r="G53" s="167">
        <v>26700931</v>
      </c>
      <c r="H53" s="166">
        <v>1543</v>
      </c>
      <c r="I53" s="168">
        <v>2357003</v>
      </c>
      <c r="J53" s="166">
        <v>5379</v>
      </c>
      <c r="K53" s="168">
        <v>1331891</v>
      </c>
      <c r="L53" s="166">
        <v>55277</v>
      </c>
      <c r="M53" s="168">
        <v>25675819</v>
      </c>
      <c r="N53" s="68" t="s">
        <v>88</v>
      </c>
    </row>
    <row r="54" spans="1:14" s="64" customFormat="1" ht="15.75" customHeight="1">
      <c r="A54" s="69"/>
      <c r="B54" s="169"/>
      <c r="C54" s="170"/>
      <c r="D54" s="169"/>
      <c r="E54" s="170"/>
      <c r="F54" s="171"/>
      <c r="G54" s="170"/>
      <c r="H54" s="171"/>
      <c r="I54" s="170"/>
      <c r="J54" s="171"/>
      <c r="K54" s="170"/>
      <c r="L54" s="171"/>
      <c r="M54" s="170"/>
      <c r="N54" s="70"/>
    </row>
    <row r="55" spans="1:14" s="64" customFormat="1" ht="15.75" customHeight="1">
      <c r="A55" s="62" t="s">
        <v>89</v>
      </c>
      <c r="B55" s="160">
        <f>_xlfn.COMPOUNDVALUE(665)</f>
        <v>1906</v>
      </c>
      <c r="C55" s="161">
        <v>1275440</v>
      </c>
      <c r="D55" s="160">
        <f>_xlfn.COMPOUNDVALUE(666)</f>
        <v>3352</v>
      </c>
      <c r="E55" s="161">
        <v>1397277</v>
      </c>
      <c r="F55" s="160">
        <f>_xlfn.COMPOUNDVALUE(667)</f>
        <v>5258</v>
      </c>
      <c r="G55" s="161">
        <v>2672717</v>
      </c>
      <c r="H55" s="160">
        <f>_xlfn.COMPOUNDVALUE(668)</f>
        <v>180</v>
      </c>
      <c r="I55" s="162">
        <v>163126</v>
      </c>
      <c r="J55" s="160">
        <v>526</v>
      </c>
      <c r="K55" s="162">
        <v>128969</v>
      </c>
      <c r="L55" s="160">
        <v>5694</v>
      </c>
      <c r="M55" s="162">
        <v>2638560</v>
      </c>
      <c r="N55" s="71" t="s">
        <v>89</v>
      </c>
    </row>
    <row r="56" spans="1:14" s="64" customFormat="1" ht="15.75" customHeight="1">
      <c r="A56" s="62" t="s">
        <v>90</v>
      </c>
      <c r="B56" s="160">
        <f>_xlfn.COMPOUNDVALUE(669)</f>
        <v>417</v>
      </c>
      <c r="C56" s="161">
        <v>246417</v>
      </c>
      <c r="D56" s="160">
        <f>_xlfn.COMPOUNDVALUE(670)</f>
        <v>681</v>
      </c>
      <c r="E56" s="161">
        <v>243029</v>
      </c>
      <c r="F56" s="160">
        <f>_xlfn.COMPOUNDVALUE(671)</f>
        <v>1098</v>
      </c>
      <c r="G56" s="161">
        <v>489446</v>
      </c>
      <c r="H56" s="160">
        <f>_xlfn.COMPOUNDVALUE(672)</f>
        <v>28</v>
      </c>
      <c r="I56" s="162">
        <v>78186</v>
      </c>
      <c r="J56" s="160">
        <v>131</v>
      </c>
      <c r="K56" s="162">
        <v>11104</v>
      </c>
      <c r="L56" s="160">
        <v>1162</v>
      </c>
      <c r="M56" s="162">
        <v>422364</v>
      </c>
      <c r="N56" s="63" t="s">
        <v>90</v>
      </c>
    </row>
    <row r="57" spans="1:14" s="64" customFormat="1" ht="15.75" customHeight="1">
      <c r="A57" s="62" t="s">
        <v>91</v>
      </c>
      <c r="B57" s="160">
        <f>_xlfn.COMPOUNDVALUE(673)</f>
        <v>626</v>
      </c>
      <c r="C57" s="161">
        <v>345161</v>
      </c>
      <c r="D57" s="160">
        <f>_xlfn.COMPOUNDVALUE(674)</f>
        <v>1131</v>
      </c>
      <c r="E57" s="161">
        <v>404435</v>
      </c>
      <c r="F57" s="160">
        <f>_xlfn.COMPOUNDVALUE(675)</f>
        <v>1757</v>
      </c>
      <c r="G57" s="161">
        <v>749597</v>
      </c>
      <c r="H57" s="160">
        <f>_xlfn.COMPOUNDVALUE(676)</f>
        <v>38</v>
      </c>
      <c r="I57" s="162">
        <v>13352</v>
      </c>
      <c r="J57" s="160">
        <v>154</v>
      </c>
      <c r="K57" s="162">
        <v>40667</v>
      </c>
      <c r="L57" s="160">
        <v>1834</v>
      </c>
      <c r="M57" s="162">
        <v>776912</v>
      </c>
      <c r="N57" s="63" t="s">
        <v>91</v>
      </c>
    </row>
    <row r="58" spans="1:14" s="64" customFormat="1" ht="15.75" customHeight="1">
      <c r="A58" s="62" t="s">
        <v>92</v>
      </c>
      <c r="B58" s="160">
        <f>_xlfn.COMPOUNDVALUE(677)</f>
        <v>704</v>
      </c>
      <c r="C58" s="161">
        <v>420551</v>
      </c>
      <c r="D58" s="160">
        <f>_xlfn.COMPOUNDVALUE(678)</f>
        <v>1147</v>
      </c>
      <c r="E58" s="161">
        <v>430643</v>
      </c>
      <c r="F58" s="160">
        <f>_xlfn.COMPOUNDVALUE(679)</f>
        <v>1851</v>
      </c>
      <c r="G58" s="161">
        <v>851194</v>
      </c>
      <c r="H58" s="160">
        <f>_xlfn.COMPOUNDVALUE(680)</f>
        <v>55</v>
      </c>
      <c r="I58" s="162">
        <v>26107</v>
      </c>
      <c r="J58" s="160">
        <v>169</v>
      </c>
      <c r="K58" s="162">
        <v>21882</v>
      </c>
      <c r="L58" s="160">
        <v>1980</v>
      </c>
      <c r="M58" s="162">
        <v>846969</v>
      </c>
      <c r="N58" s="63" t="s">
        <v>92</v>
      </c>
    </row>
    <row r="59" spans="1:14" s="64" customFormat="1" ht="15.75" customHeight="1">
      <c r="A59" s="62" t="s">
        <v>93</v>
      </c>
      <c r="B59" s="160">
        <f>_xlfn.COMPOUNDVALUE(681)</f>
        <v>645</v>
      </c>
      <c r="C59" s="161">
        <v>389219</v>
      </c>
      <c r="D59" s="160">
        <f>_xlfn.COMPOUNDVALUE(682)</f>
        <v>1095</v>
      </c>
      <c r="E59" s="161">
        <v>408068</v>
      </c>
      <c r="F59" s="160">
        <f>_xlfn.COMPOUNDVALUE(683)</f>
        <v>1740</v>
      </c>
      <c r="G59" s="161">
        <v>797288</v>
      </c>
      <c r="H59" s="160">
        <f>_xlfn.COMPOUNDVALUE(684)</f>
        <v>63</v>
      </c>
      <c r="I59" s="162">
        <v>88074</v>
      </c>
      <c r="J59" s="160">
        <v>101</v>
      </c>
      <c r="K59" s="162">
        <v>14071</v>
      </c>
      <c r="L59" s="160">
        <v>1839</v>
      </c>
      <c r="M59" s="162">
        <v>723285</v>
      </c>
      <c r="N59" s="63" t="s">
        <v>93</v>
      </c>
    </row>
    <row r="60" spans="1:14" s="64" customFormat="1" ht="15.75" customHeight="1">
      <c r="A60" s="62" t="s">
        <v>94</v>
      </c>
      <c r="B60" s="160">
        <f>_xlfn.COMPOUNDVALUE(685)</f>
        <v>216</v>
      </c>
      <c r="C60" s="161">
        <v>118032</v>
      </c>
      <c r="D60" s="160">
        <f>_xlfn.COMPOUNDVALUE(686)</f>
        <v>382</v>
      </c>
      <c r="E60" s="161">
        <v>150892</v>
      </c>
      <c r="F60" s="160">
        <f>_xlfn.COMPOUNDVALUE(687)</f>
        <v>598</v>
      </c>
      <c r="G60" s="161">
        <v>268924</v>
      </c>
      <c r="H60" s="160">
        <f>_xlfn.COMPOUNDVALUE(688)</f>
        <v>17</v>
      </c>
      <c r="I60" s="162">
        <v>25224</v>
      </c>
      <c r="J60" s="160">
        <v>72</v>
      </c>
      <c r="K60" s="162">
        <v>6782</v>
      </c>
      <c r="L60" s="160">
        <v>625</v>
      </c>
      <c r="M60" s="162">
        <v>250482</v>
      </c>
      <c r="N60" s="63" t="s">
        <v>94</v>
      </c>
    </row>
    <row r="61" spans="1:14" s="64" customFormat="1" ht="15.75" customHeight="1">
      <c r="A61" s="65" t="s">
        <v>95</v>
      </c>
      <c r="B61" s="163">
        <f>_xlfn.COMPOUNDVALUE(689)</f>
        <v>604</v>
      </c>
      <c r="C61" s="164">
        <v>403006</v>
      </c>
      <c r="D61" s="163">
        <f>_xlfn.COMPOUNDVALUE(690)</f>
        <v>1241</v>
      </c>
      <c r="E61" s="164">
        <v>457498</v>
      </c>
      <c r="F61" s="163">
        <f>_xlfn.COMPOUNDVALUE(691)</f>
        <v>1845</v>
      </c>
      <c r="G61" s="164">
        <v>860504</v>
      </c>
      <c r="H61" s="163">
        <f>_xlfn.COMPOUNDVALUE(692)</f>
        <v>52</v>
      </c>
      <c r="I61" s="165">
        <v>27067</v>
      </c>
      <c r="J61" s="163">
        <v>140</v>
      </c>
      <c r="K61" s="165">
        <v>20380</v>
      </c>
      <c r="L61" s="163">
        <v>1946</v>
      </c>
      <c r="M61" s="165">
        <v>853817</v>
      </c>
      <c r="N61" s="66" t="s">
        <v>95</v>
      </c>
    </row>
    <row r="62" spans="1:14" s="64" customFormat="1" ht="15.75" customHeight="1">
      <c r="A62" s="65" t="s">
        <v>96</v>
      </c>
      <c r="B62" s="163">
        <f>_xlfn.COMPOUNDVALUE(693)</f>
        <v>583</v>
      </c>
      <c r="C62" s="164">
        <v>328363</v>
      </c>
      <c r="D62" s="163">
        <f>_xlfn.COMPOUNDVALUE(694)</f>
        <v>1019</v>
      </c>
      <c r="E62" s="164">
        <v>392550</v>
      </c>
      <c r="F62" s="163">
        <f>_xlfn.COMPOUNDVALUE(695)</f>
        <v>1602</v>
      </c>
      <c r="G62" s="164">
        <v>720913</v>
      </c>
      <c r="H62" s="163">
        <f>_xlfn.COMPOUNDVALUE(696)</f>
        <v>41</v>
      </c>
      <c r="I62" s="165">
        <v>34223</v>
      </c>
      <c r="J62" s="163">
        <v>227</v>
      </c>
      <c r="K62" s="165">
        <v>33658</v>
      </c>
      <c r="L62" s="163">
        <v>1710</v>
      </c>
      <c r="M62" s="165">
        <v>720348</v>
      </c>
      <c r="N62" s="66" t="s">
        <v>96</v>
      </c>
    </row>
    <row r="63" spans="1:14" s="64" customFormat="1" ht="15.75" customHeight="1">
      <c r="A63" s="65" t="s">
        <v>97</v>
      </c>
      <c r="B63" s="163">
        <f>_xlfn.COMPOUNDVALUE(697)</f>
        <v>246</v>
      </c>
      <c r="C63" s="164">
        <v>168647</v>
      </c>
      <c r="D63" s="163">
        <f>_xlfn.COMPOUNDVALUE(698)</f>
        <v>491</v>
      </c>
      <c r="E63" s="164">
        <v>179132</v>
      </c>
      <c r="F63" s="163">
        <f>_xlfn.COMPOUNDVALUE(699)</f>
        <v>737</v>
      </c>
      <c r="G63" s="164">
        <v>347779</v>
      </c>
      <c r="H63" s="163">
        <f>_xlfn.COMPOUNDVALUE(700)</f>
        <v>15</v>
      </c>
      <c r="I63" s="165">
        <v>6317</v>
      </c>
      <c r="J63" s="163">
        <v>53</v>
      </c>
      <c r="K63" s="165">
        <v>335</v>
      </c>
      <c r="L63" s="163">
        <v>761</v>
      </c>
      <c r="M63" s="165">
        <v>341797</v>
      </c>
      <c r="N63" s="66" t="s">
        <v>97</v>
      </c>
    </row>
    <row r="64" spans="1:14" s="64" customFormat="1" ht="15.75" customHeight="1">
      <c r="A64" s="65" t="s">
        <v>98</v>
      </c>
      <c r="B64" s="163">
        <f>_xlfn.COMPOUNDVALUE(701)</f>
        <v>257</v>
      </c>
      <c r="C64" s="164">
        <v>142484</v>
      </c>
      <c r="D64" s="163">
        <f>_xlfn.COMPOUNDVALUE(702)</f>
        <v>452</v>
      </c>
      <c r="E64" s="164">
        <v>159026</v>
      </c>
      <c r="F64" s="163">
        <f>_xlfn.COMPOUNDVALUE(703)</f>
        <v>709</v>
      </c>
      <c r="G64" s="164">
        <v>301510</v>
      </c>
      <c r="H64" s="163">
        <f>_xlfn.COMPOUNDVALUE(704)</f>
        <v>19</v>
      </c>
      <c r="I64" s="165">
        <v>13420</v>
      </c>
      <c r="J64" s="163">
        <v>71</v>
      </c>
      <c r="K64" s="165">
        <v>274</v>
      </c>
      <c r="L64" s="163">
        <v>740</v>
      </c>
      <c r="M64" s="165">
        <v>288364</v>
      </c>
      <c r="N64" s="66" t="s">
        <v>98</v>
      </c>
    </row>
    <row r="65" spans="1:14" s="64" customFormat="1" ht="15.75" customHeight="1">
      <c r="A65" s="65" t="s">
        <v>99</v>
      </c>
      <c r="B65" s="163">
        <f>_xlfn.COMPOUNDVALUE(705)</f>
        <v>137</v>
      </c>
      <c r="C65" s="164">
        <v>102037</v>
      </c>
      <c r="D65" s="163">
        <f>_xlfn.COMPOUNDVALUE(706)</f>
        <v>237</v>
      </c>
      <c r="E65" s="164">
        <v>96284</v>
      </c>
      <c r="F65" s="163">
        <f>_xlfn.COMPOUNDVALUE(707)</f>
        <v>374</v>
      </c>
      <c r="G65" s="164">
        <v>198321</v>
      </c>
      <c r="H65" s="163">
        <f>_xlfn.COMPOUNDVALUE(708)</f>
        <v>9</v>
      </c>
      <c r="I65" s="165">
        <v>8238</v>
      </c>
      <c r="J65" s="163">
        <v>27</v>
      </c>
      <c r="K65" s="165">
        <v>2861</v>
      </c>
      <c r="L65" s="163">
        <v>394</v>
      </c>
      <c r="M65" s="165">
        <v>192944</v>
      </c>
      <c r="N65" s="66" t="s">
        <v>99</v>
      </c>
    </row>
    <row r="66" spans="1:14" s="64" customFormat="1" ht="15.75" customHeight="1">
      <c r="A66" s="65" t="s">
        <v>100</v>
      </c>
      <c r="B66" s="163">
        <f>_xlfn.COMPOUNDVALUE(709)</f>
        <v>643</v>
      </c>
      <c r="C66" s="164">
        <v>377889</v>
      </c>
      <c r="D66" s="163">
        <f>_xlfn.COMPOUNDVALUE(710)</f>
        <v>1042</v>
      </c>
      <c r="E66" s="164">
        <v>416251</v>
      </c>
      <c r="F66" s="163">
        <f>_xlfn.COMPOUNDVALUE(711)</f>
        <v>1685</v>
      </c>
      <c r="G66" s="164">
        <v>794139</v>
      </c>
      <c r="H66" s="163">
        <f>_xlfn.COMPOUNDVALUE(712)</f>
        <v>61</v>
      </c>
      <c r="I66" s="165">
        <v>31563</v>
      </c>
      <c r="J66" s="163">
        <v>172</v>
      </c>
      <c r="K66" s="165">
        <v>21878</v>
      </c>
      <c r="L66" s="163">
        <v>1800</v>
      </c>
      <c r="M66" s="165">
        <v>784454</v>
      </c>
      <c r="N66" s="66" t="s">
        <v>100</v>
      </c>
    </row>
    <row r="67" spans="1:14" s="64" customFormat="1" ht="15.75" customHeight="1">
      <c r="A67" s="65" t="s">
        <v>101</v>
      </c>
      <c r="B67" s="163">
        <f>_xlfn.COMPOUNDVALUE(713)</f>
        <v>201</v>
      </c>
      <c r="C67" s="164">
        <v>96918</v>
      </c>
      <c r="D67" s="163">
        <f>_xlfn.COMPOUNDVALUE(714)</f>
        <v>349</v>
      </c>
      <c r="E67" s="164">
        <v>109872</v>
      </c>
      <c r="F67" s="163">
        <f>_xlfn.COMPOUNDVALUE(715)</f>
        <v>550</v>
      </c>
      <c r="G67" s="164">
        <v>206790</v>
      </c>
      <c r="H67" s="163">
        <f>_xlfn.COMPOUNDVALUE(716)</f>
        <v>19</v>
      </c>
      <c r="I67" s="165">
        <v>14953</v>
      </c>
      <c r="J67" s="163">
        <v>35</v>
      </c>
      <c r="K67" s="165">
        <v>4119</v>
      </c>
      <c r="L67" s="163">
        <v>582</v>
      </c>
      <c r="M67" s="165">
        <v>195956</v>
      </c>
      <c r="N67" s="66" t="s">
        <v>102</v>
      </c>
    </row>
    <row r="68" spans="1:14" s="64" customFormat="1" ht="15.75" customHeight="1">
      <c r="A68" s="67" t="s">
        <v>103</v>
      </c>
      <c r="B68" s="166">
        <v>7185</v>
      </c>
      <c r="C68" s="167">
        <v>4414165</v>
      </c>
      <c r="D68" s="166">
        <v>12619</v>
      </c>
      <c r="E68" s="167">
        <v>4844957</v>
      </c>
      <c r="F68" s="166">
        <v>19804</v>
      </c>
      <c r="G68" s="167">
        <v>9259122</v>
      </c>
      <c r="H68" s="166">
        <v>597</v>
      </c>
      <c r="I68" s="168">
        <v>529850</v>
      </c>
      <c r="J68" s="166">
        <v>1878</v>
      </c>
      <c r="K68" s="168">
        <v>306980</v>
      </c>
      <c r="L68" s="166">
        <v>21067</v>
      </c>
      <c r="M68" s="168">
        <v>9036251</v>
      </c>
      <c r="N68" s="68" t="s">
        <v>104</v>
      </c>
    </row>
    <row r="69" spans="1:14" s="64" customFormat="1" ht="15.75" customHeight="1">
      <c r="A69" s="69"/>
      <c r="B69" s="169"/>
      <c r="C69" s="170"/>
      <c r="D69" s="169"/>
      <c r="E69" s="170"/>
      <c r="F69" s="171"/>
      <c r="G69" s="170"/>
      <c r="H69" s="171"/>
      <c r="I69" s="170"/>
      <c r="J69" s="171"/>
      <c r="K69" s="170"/>
      <c r="L69" s="171"/>
      <c r="M69" s="170"/>
      <c r="N69" s="70"/>
    </row>
    <row r="70" spans="1:14" s="64" customFormat="1" ht="15.75" customHeight="1">
      <c r="A70" s="62" t="s">
        <v>105</v>
      </c>
      <c r="B70" s="160">
        <f>_xlfn.COMPOUNDVALUE(717)</f>
        <v>1399</v>
      </c>
      <c r="C70" s="161">
        <v>749975</v>
      </c>
      <c r="D70" s="160">
        <f>_xlfn.COMPOUNDVALUE(718)</f>
        <v>2075</v>
      </c>
      <c r="E70" s="161">
        <v>855439</v>
      </c>
      <c r="F70" s="160">
        <f>_xlfn.COMPOUNDVALUE(719)</f>
        <v>3474</v>
      </c>
      <c r="G70" s="161">
        <v>1605414</v>
      </c>
      <c r="H70" s="160">
        <f>_xlfn.COMPOUNDVALUE(720)</f>
        <v>101</v>
      </c>
      <c r="I70" s="162">
        <v>99769</v>
      </c>
      <c r="J70" s="160">
        <v>483</v>
      </c>
      <c r="K70" s="162">
        <v>94118</v>
      </c>
      <c r="L70" s="160">
        <v>3773</v>
      </c>
      <c r="M70" s="162">
        <v>1599763</v>
      </c>
      <c r="N70" s="71" t="s">
        <v>105</v>
      </c>
    </row>
    <row r="71" spans="1:14" s="64" customFormat="1" ht="15.75" customHeight="1">
      <c r="A71" s="62" t="s">
        <v>106</v>
      </c>
      <c r="B71" s="160">
        <f>_xlfn.COMPOUNDVALUE(721)</f>
        <v>1516</v>
      </c>
      <c r="C71" s="161">
        <v>867252</v>
      </c>
      <c r="D71" s="160">
        <f>_xlfn.COMPOUNDVALUE(722)</f>
        <v>2445</v>
      </c>
      <c r="E71" s="161">
        <v>970278</v>
      </c>
      <c r="F71" s="160">
        <f>_xlfn.COMPOUNDVALUE(723)</f>
        <v>3961</v>
      </c>
      <c r="G71" s="161">
        <v>1837530</v>
      </c>
      <c r="H71" s="160">
        <f>_xlfn.COMPOUNDVALUE(724)</f>
        <v>115</v>
      </c>
      <c r="I71" s="162">
        <v>57097</v>
      </c>
      <c r="J71" s="160">
        <v>312</v>
      </c>
      <c r="K71" s="162">
        <v>53918</v>
      </c>
      <c r="L71" s="160">
        <v>4234</v>
      </c>
      <c r="M71" s="162">
        <v>1834351</v>
      </c>
      <c r="N71" s="63" t="s">
        <v>106</v>
      </c>
    </row>
    <row r="72" spans="1:14" s="64" customFormat="1" ht="15.75" customHeight="1">
      <c r="A72" s="62" t="s">
        <v>107</v>
      </c>
      <c r="B72" s="160">
        <f>_xlfn.COMPOUNDVALUE(725)</f>
        <v>890</v>
      </c>
      <c r="C72" s="161">
        <v>500004</v>
      </c>
      <c r="D72" s="160">
        <f>_xlfn.COMPOUNDVALUE(726)</f>
        <v>1265</v>
      </c>
      <c r="E72" s="161">
        <v>517498</v>
      </c>
      <c r="F72" s="160">
        <f>_xlfn.COMPOUNDVALUE(727)</f>
        <v>2155</v>
      </c>
      <c r="G72" s="161">
        <v>1017502</v>
      </c>
      <c r="H72" s="160">
        <f>_xlfn.COMPOUNDVALUE(728)</f>
        <v>71</v>
      </c>
      <c r="I72" s="162">
        <v>49305</v>
      </c>
      <c r="J72" s="160">
        <v>230</v>
      </c>
      <c r="K72" s="162">
        <v>38528</v>
      </c>
      <c r="L72" s="160">
        <v>2298</v>
      </c>
      <c r="M72" s="162">
        <v>1006725</v>
      </c>
      <c r="N72" s="63" t="s">
        <v>107</v>
      </c>
    </row>
    <row r="73" spans="1:14" s="64" customFormat="1" ht="15.75" customHeight="1">
      <c r="A73" s="65" t="s">
        <v>108</v>
      </c>
      <c r="B73" s="163">
        <f>_xlfn.COMPOUNDVALUE(729)</f>
        <v>591</v>
      </c>
      <c r="C73" s="164">
        <v>377517</v>
      </c>
      <c r="D73" s="163">
        <f>_xlfn.COMPOUNDVALUE(730)</f>
        <v>938</v>
      </c>
      <c r="E73" s="164">
        <v>329917</v>
      </c>
      <c r="F73" s="163">
        <f>_xlfn.COMPOUNDVALUE(731)</f>
        <v>1529</v>
      </c>
      <c r="G73" s="164">
        <v>707434</v>
      </c>
      <c r="H73" s="163">
        <f>_xlfn.COMPOUNDVALUE(732)</f>
        <v>65</v>
      </c>
      <c r="I73" s="165">
        <v>30639</v>
      </c>
      <c r="J73" s="163">
        <v>91</v>
      </c>
      <c r="K73" s="165">
        <v>13031</v>
      </c>
      <c r="L73" s="163">
        <v>1629</v>
      </c>
      <c r="M73" s="165">
        <v>689826</v>
      </c>
      <c r="N73" s="66" t="s">
        <v>108</v>
      </c>
    </row>
    <row r="74" spans="1:14" s="64" customFormat="1" ht="15.75" customHeight="1">
      <c r="A74" s="65" t="s">
        <v>109</v>
      </c>
      <c r="B74" s="163">
        <f>_xlfn.COMPOUNDVALUE(733)</f>
        <v>726</v>
      </c>
      <c r="C74" s="164">
        <v>423956</v>
      </c>
      <c r="D74" s="163">
        <f>_xlfn.COMPOUNDVALUE(734)</f>
        <v>1027</v>
      </c>
      <c r="E74" s="164">
        <v>404232</v>
      </c>
      <c r="F74" s="163">
        <f>_xlfn.COMPOUNDVALUE(735)</f>
        <v>1753</v>
      </c>
      <c r="G74" s="164">
        <v>828188</v>
      </c>
      <c r="H74" s="163">
        <f>_xlfn.COMPOUNDVALUE(736)</f>
        <v>61</v>
      </c>
      <c r="I74" s="165">
        <v>51827</v>
      </c>
      <c r="J74" s="163">
        <v>133</v>
      </c>
      <c r="K74" s="165">
        <v>30723</v>
      </c>
      <c r="L74" s="163">
        <v>1889</v>
      </c>
      <c r="M74" s="165">
        <v>807084</v>
      </c>
      <c r="N74" s="66" t="s">
        <v>109</v>
      </c>
    </row>
    <row r="75" spans="1:14" s="64" customFormat="1" ht="15.75" customHeight="1">
      <c r="A75" s="65" t="s">
        <v>110</v>
      </c>
      <c r="B75" s="163">
        <f>_xlfn.COMPOUNDVALUE(737)</f>
        <v>540</v>
      </c>
      <c r="C75" s="164">
        <v>271824</v>
      </c>
      <c r="D75" s="163">
        <f>_xlfn.COMPOUNDVALUE(738)</f>
        <v>927</v>
      </c>
      <c r="E75" s="164">
        <v>370912</v>
      </c>
      <c r="F75" s="163">
        <f>_xlfn.COMPOUNDVALUE(739)</f>
        <v>1467</v>
      </c>
      <c r="G75" s="164">
        <v>642736</v>
      </c>
      <c r="H75" s="163">
        <f>_xlfn.COMPOUNDVALUE(740)</f>
        <v>32</v>
      </c>
      <c r="I75" s="165">
        <v>15298</v>
      </c>
      <c r="J75" s="163">
        <v>157</v>
      </c>
      <c r="K75" s="165">
        <v>17430</v>
      </c>
      <c r="L75" s="163">
        <v>1552</v>
      </c>
      <c r="M75" s="165">
        <v>644868</v>
      </c>
      <c r="N75" s="66" t="s">
        <v>110</v>
      </c>
    </row>
    <row r="76" spans="1:14" s="64" customFormat="1" ht="15.75" customHeight="1">
      <c r="A76" s="65" t="s">
        <v>111</v>
      </c>
      <c r="B76" s="163">
        <f>_xlfn.COMPOUNDVALUE(741)</f>
        <v>438</v>
      </c>
      <c r="C76" s="164">
        <v>221433</v>
      </c>
      <c r="D76" s="163">
        <f>_xlfn.COMPOUNDVALUE(742)</f>
        <v>856</v>
      </c>
      <c r="E76" s="164">
        <v>313641</v>
      </c>
      <c r="F76" s="163">
        <f>_xlfn.COMPOUNDVALUE(743)</f>
        <v>1294</v>
      </c>
      <c r="G76" s="164">
        <v>535074</v>
      </c>
      <c r="H76" s="163">
        <f>_xlfn.COMPOUNDVALUE(744)</f>
        <v>23</v>
      </c>
      <c r="I76" s="165">
        <v>9900</v>
      </c>
      <c r="J76" s="163">
        <v>122</v>
      </c>
      <c r="K76" s="165">
        <v>14789</v>
      </c>
      <c r="L76" s="163">
        <v>1355</v>
      </c>
      <c r="M76" s="165">
        <v>539963</v>
      </c>
      <c r="N76" s="66" t="s">
        <v>111</v>
      </c>
    </row>
    <row r="77" spans="1:14" s="64" customFormat="1" ht="15.75" customHeight="1">
      <c r="A77" s="65" t="s">
        <v>112</v>
      </c>
      <c r="B77" s="163">
        <f>_xlfn.COMPOUNDVALUE(745)</f>
        <v>265</v>
      </c>
      <c r="C77" s="164">
        <v>137559</v>
      </c>
      <c r="D77" s="163">
        <f>_xlfn.COMPOUNDVALUE(746)</f>
        <v>351</v>
      </c>
      <c r="E77" s="164">
        <v>135063</v>
      </c>
      <c r="F77" s="163">
        <f>_xlfn.COMPOUNDVALUE(747)</f>
        <v>616</v>
      </c>
      <c r="G77" s="164">
        <v>272622</v>
      </c>
      <c r="H77" s="163">
        <f>_xlfn.COMPOUNDVALUE(748)</f>
        <v>19</v>
      </c>
      <c r="I77" s="165">
        <v>15195</v>
      </c>
      <c r="J77" s="163">
        <v>38</v>
      </c>
      <c r="K77" s="165">
        <v>7215</v>
      </c>
      <c r="L77" s="163">
        <v>658</v>
      </c>
      <c r="M77" s="165">
        <v>264642</v>
      </c>
      <c r="N77" s="66" t="s">
        <v>112</v>
      </c>
    </row>
    <row r="78" spans="1:14" s="64" customFormat="1" ht="15.75" customHeight="1">
      <c r="A78" s="65" t="s">
        <v>113</v>
      </c>
      <c r="B78" s="163">
        <f>_xlfn.COMPOUNDVALUE(749)</f>
        <v>1018</v>
      </c>
      <c r="C78" s="164">
        <v>767102</v>
      </c>
      <c r="D78" s="163">
        <f>_xlfn.COMPOUNDVALUE(750)</f>
        <v>1905</v>
      </c>
      <c r="E78" s="164">
        <v>855229</v>
      </c>
      <c r="F78" s="163">
        <f>_xlfn.COMPOUNDVALUE(751)</f>
        <v>2923</v>
      </c>
      <c r="G78" s="164">
        <v>1622331</v>
      </c>
      <c r="H78" s="163">
        <f>_xlfn.COMPOUNDVALUE(752)</f>
        <v>86</v>
      </c>
      <c r="I78" s="165">
        <v>35326</v>
      </c>
      <c r="J78" s="163">
        <v>126</v>
      </c>
      <c r="K78" s="165">
        <v>26388</v>
      </c>
      <c r="L78" s="163">
        <v>3076</v>
      </c>
      <c r="M78" s="165">
        <v>1613393</v>
      </c>
      <c r="N78" s="66" t="s">
        <v>113</v>
      </c>
    </row>
    <row r="79" spans="1:14" s="64" customFormat="1" ht="15.75" customHeight="1">
      <c r="A79" s="65" t="s">
        <v>114</v>
      </c>
      <c r="B79" s="163">
        <f>_xlfn.COMPOUNDVALUE(753)</f>
        <v>127</v>
      </c>
      <c r="C79" s="164">
        <v>57866</v>
      </c>
      <c r="D79" s="163">
        <f>_xlfn.COMPOUNDVALUE(754)</f>
        <v>174</v>
      </c>
      <c r="E79" s="164">
        <v>64932</v>
      </c>
      <c r="F79" s="163">
        <f>_xlfn.COMPOUNDVALUE(755)</f>
        <v>301</v>
      </c>
      <c r="G79" s="164">
        <v>122798</v>
      </c>
      <c r="H79" s="163">
        <f>_xlfn.COMPOUNDVALUE(756)</f>
        <v>11</v>
      </c>
      <c r="I79" s="165">
        <v>3384</v>
      </c>
      <c r="J79" s="163">
        <v>23</v>
      </c>
      <c r="K79" s="165">
        <v>1889</v>
      </c>
      <c r="L79" s="163">
        <v>316</v>
      </c>
      <c r="M79" s="165">
        <v>121303</v>
      </c>
      <c r="N79" s="66" t="s">
        <v>114</v>
      </c>
    </row>
    <row r="80" spans="1:14" s="64" customFormat="1" ht="15.75" customHeight="1">
      <c r="A80" s="67" t="s">
        <v>115</v>
      </c>
      <c r="B80" s="166">
        <v>7510</v>
      </c>
      <c r="C80" s="167">
        <v>4374488</v>
      </c>
      <c r="D80" s="166">
        <v>11963</v>
      </c>
      <c r="E80" s="167">
        <v>4817141</v>
      </c>
      <c r="F80" s="166">
        <v>19473</v>
      </c>
      <c r="G80" s="167">
        <v>9191629</v>
      </c>
      <c r="H80" s="166">
        <v>584</v>
      </c>
      <c r="I80" s="168">
        <v>367741</v>
      </c>
      <c r="J80" s="166">
        <v>1715</v>
      </c>
      <c r="K80" s="168">
        <v>298029</v>
      </c>
      <c r="L80" s="166">
        <v>20780</v>
      </c>
      <c r="M80" s="168">
        <v>9121917</v>
      </c>
      <c r="N80" s="68" t="s">
        <v>116</v>
      </c>
    </row>
    <row r="81" spans="1:15" s="64" customFormat="1" ht="15.75" customHeight="1" thickBot="1">
      <c r="A81" s="72"/>
      <c r="B81" s="172"/>
      <c r="C81" s="173"/>
      <c r="D81" s="172"/>
      <c r="E81" s="173"/>
      <c r="F81" s="174"/>
      <c r="G81" s="173"/>
      <c r="H81" s="174"/>
      <c r="I81" s="173"/>
      <c r="J81" s="174"/>
      <c r="K81" s="173"/>
      <c r="L81" s="174"/>
      <c r="M81" s="173"/>
      <c r="N81" s="73"/>
      <c r="O81" s="74"/>
    </row>
    <row r="82" spans="1:14" s="64" customFormat="1" ht="15.75" customHeight="1" thickBot="1" thickTop="1">
      <c r="A82" s="75" t="s">
        <v>117</v>
      </c>
      <c r="B82" s="175">
        <v>58019</v>
      </c>
      <c r="C82" s="176">
        <v>37690293</v>
      </c>
      <c r="D82" s="175">
        <v>94977</v>
      </c>
      <c r="E82" s="176">
        <v>39623058</v>
      </c>
      <c r="F82" s="175">
        <v>152996</v>
      </c>
      <c r="G82" s="176">
        <v>77313350</v>
      </c>
      <c r="H82" s="175">
        <v>4529</v>
      </c>
      <c r="I82" s="177">
        <v>4703589</v>
      </c>
      <c r="J82" s="175">
        <v>15136</v>
      </c>
      <c r="K82" s="177">
        <v>3303015</v>
      </c>
      <c r="L82" s="175">
        <v>164732</v>
      </c>
      <c r="M82" s="177">
        <v>75912776</v>
      </c>
      <c r="N82" s="76" t="s">
        <v>118</v>
      </c>
    </row>
    <row r="83" spans="1:14" ht="15" customHeight="1">
      <c r="A83" s="229" t="s">
        <v>154</v>
      </c>
      <c r="B83" s="229"/>
      <c r="C83" s="229"/>
      <c r="D83" s="229"/>
      <c r="E83" s="229"/>
      <c r="F83" s="229"/>
      <c r="G83" s="229"/>
      <c r="H83" s="229"/>
      <c r="I83" s="229"/>
      <c r="J83" s="77"/>
      <c r="K83" s="77"/>
      <c r="L83" s="48"/>
      <c r="M83" s="48"/>
      <c r="N83" s="48"/>
    </row>
    <row r="85" spans="2:10" ht="13.5">
      <c r="B85" s="78"/>
      <c r="C85" s="78"/>
      <c r="D85" s="78"/>
      <c r="E85" s="78"/>
      <c r="F85" s="78"/>
      <c r="G85" s="78"/>
      <c r="H85" s="78"/>
      <c r="J85" s="78"/>
    </row>
    <row r="86" spans="2:10" ht="13.5">
      <c r="B86" s="78"/>
      <c r="C86" s="78"/>
      <c r="D86" s="78"/>
      <c r="E86" s="78"/>
      <c r="F86" s="78"/>
      <c r="G86" s="78"/>
      <c r="H86" s="78"/>
      <c r="J86" s="78"/>
    </row>
    <row r="87" spans="2:10" ht="13.5">
      <c r="B87" s="78"/>
      <c r="C87" s="78"/>
      <c r="D87" s="78"/>
      <c r="E87" s="78"/>
      <c r="F87" s="78"/>
      <c r="G87" s="78"/>
      <c r="H87" s="78"/>
      <c r="J87" s="78"/>
    </row>
    <row r="88" spans="2:10" ht="13.5">
      <c r="B88" s="78"/>
      <c r="C88" s="78"/>
      <c r="D88" s="78"/>
      <c r="E88" s="78"/>
      <c r="F88" s="78"/>
      <c r="G88" s="78"/>
      <c r="H88" s="78"/>
      <c r="J88" s="78"/>
    </row>
    <row r="89" spans="2:10" ht="13.5">
      <c r="B89" s="78"/>
      <c r="C89" s="78"/>
      <c r="D89" s="78"/>
      <c r="E89" s="78"/>
      <c r="F89" s="78"/>
      <c r="G89" s="78"/>
      <c r="H89" s="78"/>
      <c r="J89" s="78"/>
    </row>
    <row r="90" spans="2:10" ht="13.5">
      <c r="B90" s="78"/>
      <c r="C90" s="78"/>
      <c r="D90" s="78"/>
      <c r="E90" s="78"/>
      <c r="F90" s="78"/>
      <c r="G90" s="78"/>
      <c r="H90" s="78"/>
      <c r="J90" s="78"/>
    </row>
    <row r="91" spans="2:10" ht="13.5">
      <c r="B91" s="78"/>
      <c r="C91" s="78"/>
      <c r="D91" s="78"/>
      <c r="E91" s="78"/>
      <c r="F91" s="78"/>
      <c r="G91" s="78"/>
      <c r="H91" s="78"/>
      <c r="J91" s="78"/>
    </row>
    <row r="92" spans="2:10" ht="13.5">
      <c r="B92" s="78"/>
      <c r="C92" s="78"/>
      <c r="D92" s="78"/>
      <c r="E92" s="78"/>
      <c r="F92" s="78"/>
      <c r="G92" s="78"/>
      <c r="H92" s="78"/>
      <c r="J92" s="78"/>
    </row>
    <row r="93" spans="2:10" ht="13.5">
      <c r="B93" s="78"/>
      <c r="C93" s="78"/>
      <c r="D93" s="78"/>
      <c r="E93" s="78"/>
      <c r="F93" s="78"/>
      <c r="G93" s="78"/>
      <c r="H93" s="78"/>
      <c r="J93" s="78"/>
    </row>
    <row r="94" spans="2:10" ht="13.5">
      <c r="B94" s="78"/>
      <c r="C94" s="78"/>
      <c r="D94" s="78"/>
      <c r="E94" s="78"/>
      <c r="F94" s="78"/>
      <c r="G94" s="78"/>
      <c r="H94" s="78"/>
      <c r="J94" s="78"/>
    </row>
    <row r="95" spans="2:10" ht="13.5">
      <c r="B95" s="78"/>
      <c r="C95" s="78"/>
      <c r="D95" s="78"/>
      <c r="E95" s="78"/>
      <c r="F95" s="78"/>
      <c r="G95" s="78"/>
      <c r="H95" s="78"/>
      <c r="J95" s="78"/>
    </row>
    <row r="96" spans="2:10" ht="13.5">
      <c r="B96" s="78"/>
      <c r="C96" s="78"/>
      <c r="D96" s="78"/>
      <c r="E96" s="78"/>
      <c r="F96" s="78"/>
      <c r="G96" s="78"/>
      <c r="H96" s="78"/>
      <c r="J96" s="78"/>
    </row>
    <row r="97" spans="2:10" ht="13.5">
      <c r="B97" s="78"/>
      <c r="C97" s="78"/>
      <c r="D97" s="78"/>
      <c r="E97" s="78"/>
      <c r="F97" s="78"/>
      <c r="G97" s="78"/>
      <c r="H97" s="78"/>
      <c r="J97" s="78"/>
    </row>
  </sheetData>
  <sheetProtection/>
  <mergeCells count="11">
    <mergeCell ref="A83:I83"/>
    <mergeCell ref="L3:M4"/>
    <mergeCell ref="A2:G2"/>
    <mergeCell ref="A3:A5"/>
    <mergeCell ref="B3:G3"/>
    <mergeCell ref="H3:I4"/>
    <mergeCell ref="J3:K4"/>
    <mergeCell ref="N3:N5"/>
    <mergeCell ref="B4:C4"/>
    <mergeCell ref="D4:E4"/>
    <mergeCell ref="F4:G4"/>
  </mergeCell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52" r:id="rId1"/>
  <headerFooter alignWithMargins="0">
    <oddFooter>&amp;R関東信越国税局
消費税
(H&amp;K01+00030&amp;K000000)</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83"/>
  <sheetViews>
    <sheetView workbookViewId="0" topLeftCell="A1">
      <selection activeCell="A1" sqref="A1"/>
    </sheetView>
  </sheetViews>
  <sheetFormatPr defaultColWidth="9.00390625" defaultRowHeight="13.5"/>
  <cols>
    <col min="1" max="1" width="11.125" style="49" customWidth="1"/>
    <col min="2" max="2" width="10.625" style="49" customWidth="1"/>
    <col min="3" max="3" width="12.625" style="49" customWidth="1"/>
    <col min="4" max="4" width="10.625" style="49" customWidth="1"/>
    <col min="5" max="5" width="12.625" style="49" customWidth="1"/>
    <col min="6" max="6" width="10.625" style="49" customWidth="1"/>
    <col min="7" max="7" width="12.625" style="49" customWidth="1"/>
    <col min="8" max="8" width="10.625" style="49" customWidth="1"/>
    <col min="9" max="9" width="12.625" style="49" customWidth="1"/>
    <col min="10" max="10" width="10.625" style="49" customWidth="1"/>
    <col min="11" max="11" width="12.625" style="49" customWidth="1"/>
    <col min="12" max="12" width="10.625" style="49" customWidth="1"/>
    <col min="13" max="13" width="12.625" style="49" customWidth="1"/>
    <col min="14" max="14" width="11.375" style="49" customWidth="1"/>
    <col min="15" max="16384" width="9.00390625" style="49" customWidth="1"/>
  </cols>
  <sheetData>
    <row r="1" spans="1:13" ht="16.5" customHeight="1">
      <c r="A1" s="47" t="s">
        <v>158</v>
      </c>
      <c r="B1" s="47"/>
      <c r="C1" s="47"/>
      <c r="D1" s="47"/>
      <c r="E1" s="47"/>
      <c r="F1" s="47"/>
      <c r="G1" s="47"/>
      <c r="H1" s="47"/>
      <c r="I1" s="47"/>
      <c r="J1" s="47"/>
      <c r="K1" s="47"/>
      <c r="L1" s="48"/>
      <c r="M1" s="48"/>
    </row>
    <row r="2" spans="1:13" ht="14.25" thickBot="1">
      <c r="A2" s="230" t="s">
        <v>119</v>
      </c>
      <c r="B2" s="230"/>
      <c r="C2" s="230"/>
      <c r="D2" s="230"/>
      <c r="E2" s="230"/>
      <c r="F2" s="230"/>
      <c r="G2" s="230"/>
      <c r="H2" s="230"/>
      <c r="I2" s="230"/>
      <c r="J2" s="77"/>
      <c r="K2" s="77"/>
      <c r="L2" s="48"/>
      <c r="M2" s="48"/>
    </row>
    <row r="3" spans="1:14" ht="19.5" customHeight="1">
      <c r="A3" s="215" t="s">
        <v>27</v>
      </c>
      <c r="B3" s="218" t="s">
        <v>28</v>
      </c>
      <c r="C3" s="218"/>
      <c r="D3" s="218"/>
      <c r="E3" s="218"/>
      <c r="F3" s="218"/>
      <c r="G3" s="218"/>
      <c r="H3" s="219" t="s">
        <v>13</v>
      </c>
      <c r="I3" s="220"/>
      <c r="J3" s="223" t="s">
        <v>29</v>
      </c>
      <c r="K3" s="220"/>
      <c r="L3" s="219" t="s">
        <v>30</v>
      </c>
      <c r="M3" s="220"/>
      <c r="N3" s="224" t="s">
        <v>120</v>
      </c>
    </row>
    <row r="4" spans="1:14" ht="17.25" customHeight="1">
      <c r="A4" s="216"/>
      <c r="B4" s="221" t="s">
        <v>16</v>
      </c>
      <c r="C4" s="228"/>
      <c r="D4" s="221" t="s">
        <v>32</v>
      </c>
      <c r="E4" s="228"/>
      <c r="F4" s="221" t="s">
        <v>33</v>
      </c>
      <c r="G4" s="228"/>
      <c r="H4" s="221"/>
      <c r="I4" s="222"/>
      <c r="J4" s="221"/>
      <c r="K4" s="222"/>
      <c r="L4" s="221"/>
      <c r="M4" s="222"/>
      <c r="N4" s="225"/>
    </row>
    <row r="5" spans="1:14" ht="28.5" customHeight="1">
      <c r="A5" s="217"/>
      <c r="B5" s="50" t="s">
        <v>34</v>
      </c>
      <c r="C5" s="51" t="s">
        <v>35</v>
      </c>
      <c r="D5" s="50" t="s">
        <v>34</v>
      </c>
      <c r="E5" s="51" t="s">
        <v>35</v>
      </c>
      <c r="F5" s="50" t="s">
        <v>34</v>
      </c>
      <c r="G5" s="52" t="s">
        <v>36</v>
      </c>
      <c r="H5" s="50" t="s">
        <v>34</v>
      </c>
      <c r="I5" s="53" t="s">
        <v>37</v>
      </c>
      <c r="J5" s="50" t="s">
        <v>34</v>
      </c>
      <c r="K5" s="53" t="s">
        <v>38</v>
      </c>
      <c r="L5" s="50" t="s">
        <v>34</v>
      </c>
      <c r="M5" s="54" t="s">
        <v>39</v>
      </c>
      <c r="N5" s="226"/>
    </row>
    <row r="6" spans="1:14" s="79" customFormat="1" ht="10.5">
      <c r="A6" s="56"/>
      <c r="B6" s="57" t="s">
        <v>4</v>
      </c>
      <c r="C6" s="58" t="s">
        <v>5</v>
      </c>
      <c r="D6" s="57" t="s">
        <v>4</v>
      </c>
      <c r="E6" s="58" t="s">
        <v>5</v>
      </c>
      <c r="F6" s="57" t="s">
        <v>4</v>
      </c>
      <c r="G6" s="58" t="s">
        <v>5</v>
      </c>
      <c r="H6" s="57" t="s">
        <v>4</v>
      </c>
      <c r="I6" s="59" t="s">
        <v>5</v>
      </c>
      <c r="J6" s="57" t="s">
        <v>4</v>
      </c>
      <c r="K6" s="59" t="s">
        <v>5</v>
      </c>
      <c r="L6" s="57" t="s">
        <v>156</v>
      </c>
      <c r="M6" s="59" t="s">
        <v>5</v>
      </c>
      <c r="N6" s="60"/>
    </row>
    <row r="7" spans="1:14" ht="15.75" customHeight="1">
      <c r="A7" s="62" t="s">
        <v>40</v>
      </c>
      <c r="B7" s="86">
        <f>_xlfn.COMPOUNDVALUE(1)</f>
        <v>4562</v>
      </c>
      <c r="C7" s="87">
        <v>40590845</v>
      </c>
      <c r="D7" s="86">
        <f>_xlfn.COMPOUNDVALUE(2)</f>
        <v>1803</v>
      </c>
      <c r="E7" s="87">
        <v>1213007</v>
      </c>
      <c r="F7" s="86">
        <f>_xlfn.COMPOUNDVALUE(3)</f>
        <v>6365</v>
      </c>
      <c r="G7" s="87">
        <v>41803851</v>
      </c>
      <c r="H7" s="86">
        <f>_xlfn.COMPOUNDVALUE(4)</f>
        <v>319</v>
      </c>
      <c r="I7" s="88">
        <v>1767153</v>
      </c>
      <c r="J7" s="86">
        <v>359</v>
      </c>
      <c r="K7" s="88">
        <v>44336</v>
      </c>
      <c r="L7" s="86">
        <v>6723</v>
      </c>
      <c r="M7" s="88">
        <v>40081034</v>
      </c>
      <c r="N7" s="63" t="s">
        <v>40</v>
      </c>
    </row>
    <row r="8" spans="1:14" ht="15.75" customHeight="1">
      <c r="A8" s="65" t="s">
        <v>41</v>
      </c>
      <c r="B8" s="89">
        <f>_xlfn.COMPOUNDVALUE(5)</f>
        <v>1731</v>
      </c>
      <c r="C8" s="90">
        <v>18559983</v>
      </c>
      <c r="D8" s="89">
        <f>_xlfn.COMPOUNDVALUE(6)</f>
        <v>774</v>
      </c>
      <c r="E8" s="90">
        <v>462945</v>
      </c>
      <c r="F8" s="89">
        <f>_xlfn.COMPOUNDVALUE(7)</f>
        <v>2505</v>
      </c>
      <c r="G8" s="90">
        <v>19022929</v>
      </c>
      <c r="H8" s="89">
        <f>_xlfn.COMPOUNDVALUE(8)</f>
        <v>88</v>
      </c>
      <c r="I8" s="91">
        <v>2525293</v>
      </c>
      <c r="J8" s="89">
        <v>161</v>
      </c>
      <c r="K8" s="91">
        <v>65712</v>
      </c>
      <c r="L8" s="89">
        <v>2618</v>
      </c>
      <c r="M8" s="91">
        <v>16563348</v>
      </c>
      <c r="N8" s="66" t="s">
        <v>41</v>
      </c>
    </row>
    <row r="9" spans="1:14" ht="15.75" customHeight="1">
      <c r="A9" s="65" t="s">
        <v>42</v>
      </c>
      <c r="B9" s="89">
        <f>_xlfn.COMPOUNDVALUE(9)</f>
        <v>4573</v>
      </c>
      <c r="C9" s="90">
        <v>34900136</v>
      </c>
      <c r="D9" s="89">
        <f>_xlfn.COMPOUNDVALUE(10)</f>
        <v>1855</v>
      </c>
      <c r="E9" s="90">
        <v>1181188</v>
      </c>
      <c r="F9" s="89">
        <f>_xlfn.COMPOUNDVALUE(11)</f>
        <v>6428</v>
      </c>
      <c r="G9" s="90">
        <v>36081324</v>
      </c>
      <c r="H9" s="89">
        <f>_xlfn.COMPOUNDVALUE(12)</f>
        <v>437</v>
      </c>
      <c r="I9" s="91">
        <v>1308444</v>
      </c>
      <c r="J9" s="89">
        <v>426</v>
      </c>
      <c r="K9" s="91">
        <v>101415</v>
      </c>
      <c r="L9" s="89">
        <v>6951</v>
      </c>
      <c r="M9" s="91">
        <v>34874295</v>
      </c>
      <c r="N9" s="66" t="s">
        <v>42</v>
      </c>
    </row>
    <row r="10" spans="1:14" ht="15.75" customHeight="1">
      <c r="A10" s="65" t="s">
        <v>43</v>
      </c>
      <c r="B10" s="89">
        <f>_xlfn.COMPOUNDVALUE(13)</f>
        <v>2436</v>
      </c>
      <c r="C10" s="90">
        <v>13459917</v>
      </c>
      <c r="D10" s="89">
        <f>_xlfn.COMPOUNDVALUE(14)</f>
        <v>1057</v>
      </c>
      <c r="E10" s="90">
        <v>650587</v>
      </c>
      <c r="F10" s="89">
        <f>_xlfn.COMPOUNDVALUE(15)</f>
        <v>3493</v>
      </c>
      <c r="G10" s="90">
        <v>14110504</v>
      </c>
      <c r="H10" s="89">
        <f>_xlfn.COMPOUNDVALUE(16)</f>
        <v>255</v>
      </c>
      <c r="I10" s="91">
        <v>967419</v>
      </c>
      <c r="J10" s="89">
        <v>216</v>
      </c>
      <c r="K10" s="91">
        <v>76834</v>
      </c>
      <c r="L10" s="89">
        <v>3770</v>
      </c>
      <c r="M10" s="91">
        <v>13219919</v>
      </c>
      <c r="N10" s="66" t="s">
        <v>43</v>
      </c>
    </row>
    <row r="11" spans="1:14" ht="15.75" customHeight="1">
      <c r="A11" s="65" t="s">
        <v>44</v>
      </c>
      <c r="B11" s="89">
        <f>_xlfn.COMPOUNDVALUE(17)</f>
        <v>3402</v>
      </c>
      <c r="C11" s="90">
        <v>18999496</v>
      </c>
      <c r="D11" s="89">
        <f>_xlfn.COMPOUNDVALUE(18)</f>
        <v>1461</v>
      </c>
      <c r="E11" s="90">
        <v>861912</v>
      </c>
      <c r="F11" s="89">
        <f>_xlfn.COMPOUNDVALUE(19)</f>
        <v>4863</v>
      </c>
      <c r="G11" s="90">
        <v>19861408</v>
      </c>
      <c r="H11" s="89">
        <f>_xlfn.COMPOUNDVALUE(20)</f>
        <v>269</v>
      </c>
      <c r="I11" s="91">
        <v>1287854</v>
      </c>
      <c r="J11" s="89">
        <v>324</v>
      </c>
      <c r="K11" s="91">
        <v>84137</v>
      </c>
      <c r="L11" s="89">
        <v>5174</v>
      </c>
      <c r="M11" s="91">
        <v>18657691</v>
      </c>
      <c r="N11" s="66" t="s">
        <v>44</v>
      </c>
    </row>
    <row r="12" spans="1:14" ht="15.75" customHeight="1">
      <c r="A12" s="65" t="s">
        <v>46</v>
      </c>
      <c r="B12" s="89">
        <f>_xlfn.COMPOUNDVALUE(21)</f>
        <v>2889</v>
      </c>
      <c r="C12" s="90">
        <v>12225870</v>
      </c>
      <c r="D12" s="89">
        <f>_xlfn.COMPOUNDVALUE(22)</f>
        <v>1394</v>
      </c>
      <c r="E12" s="90">
        <v>887706</v>
      </c>
      <c r="F12" s="89">
        <f>_xlfn.COMPOUNDVALUE(23)</f>
        <v>4283</v>
      </c>
      <c r="G12" s="90">
        <v>13113576</v>
      </c>
      <c r="H12" s="89">
        <f>_xlfn.COMPOUNDVALUE(24)</f>
        <v>249</v>
      </c>
      <c r="I12" s="91">
        <v>1619476</v>
      </c>
      <c r="J12" s="89">
        <v>259</v>
      </c>
      <c r="K12" s="91">
        <v>63500</v>
      </c>
      <c r="L12" s="89">
        <v>4570</v>
      </c>
      <c r="M12" s="91">
        <v>11557600</v>
      </c>
      <c r="N12" s="66" t="s">
        <v>46</v>
      </c>
    </row>
    <row r="13" spans="1:14" ht="15.75" customHeight="1">
      <c r="A13" s="65" t="s">
        <v>47</v>
      </c>
      <c r="B13" s="89">
        <f>_xlfn.COMPOUNDVALUE(25)</f>
        <v>2390</v>
      </c>
      <c r="C13" s="90">
        <v>17174936</v>
      </c>
      <c r="D13" s="89">
        <f>_xlfn.COMPOUNDVALUE(26)</f>
        <v>993</v>
      </c>
      <c r="E13" s="90">
        <v>594585</v>
      </c>
      <c r="F13" s="89">
        <f>_xlfn.COMPOUNDVALUE(27)</f>
        <v>3383</v>
      </c>
      <c r="G13" s="90">
        <v>17769521</v>
      </c>
      <c r="H13" s="89">
        <f>_xlfn.COMPOUNDVALUE(28)</f>
        <v>123</v>
      </c>
      <c r="I13" s="91">
        <v>2042085</v>
      </c>
      <c r="J13" s="89">
        <v>189</v>
      </c>
      <c r="K13" s="91">
        <v>82757</v>
      </c>
      <c r="L13" s="89">
        <v>3539</v>
      </c>
      <c r="M13" s="91">
        <v>15810193</v>
      </c>
      <c r="N13" s="66" t="s">
        <v>47</v>
      </c>
    </row>
    <row r="14" spans="1:14" ht="15.75" customHeight="1">
      <c r="A14" s="65" t="s">
        <v>48</v>
      </c>
      <c r="B14" s="89">
        <f>_xlfn.COMPOUNDVALUE(29)</f>
        <v>2647</v>
      </c>
      <c r="C14" s="90">
        <v>17072621</v>
      </c>
      <c r="D14" s="89">
        <f>_xlfn.COMPOUNDVALUE(30)</f>
        <v>850</v>
      </c>
      <c r="E14" s="90">
        <v>578124</v>
      </c>
      <c r="F14" s="89">
        <f>_xlfn.COMPOUNDVALUE(31)</f>
        <v>3497</v>
      </c>
      <c r="G14" s="90">
        <v>17650745</v>
      </c>
      <c r="H14" s="89">
        <f>_xlfn.COMPOUNDVALUE(32)</f>
        <v>164</v>
      </c>
      <c r="I14" s="91">
        <v>3789711</v>
      </c>
      <c r="J14" s="89">
        <v>262</v>
      </c>
      <c r="K14" s="91">
        <v>96722</v>
      </c>
      <c r="L14" s="89">
        <v>3695</v>
      </c>
      <c r="M14" s="91">
        <v>13957756</v>
      </c>
      <c r="N14" s="66" t="s">
        <v>48</v>
      </c>
    </row>
    <row r="15" spans="1:14" ht="15.75" customHeight="1">
      <c r="A15" s="67" t="s">
        <v>145</v>
      </c>
      <c r="B15" s="92">
        <v>24630</v>
      </c>
      <c r="C15" s="93">
        <v>172983804</v>
      </c>
      <c r="D15" s="92">
        <v>10187</v>
      </c>
      <c r="E15" s="93">
        <v>6430054</v>
      </c>
      <c r="F15" s="92">
        <v>34817</v>
      </c>
      <c r="G15" s="93">
        <v>179413858</v>
      </c>
      <c r="H15" s="92">
        <v>1904</v>
      </c>
      <c r="I15" s="94">
        <v>15307436</v>
      </c>
      <c r="J15" s="92">
        <v>2196</v>
      </c>
      <c r="K15" s="94">
        <v>615415</v>
      </c>
      <c r="L15" s="92">
        <v>37040</v>
      </c>
      <c r="M15" s="94">
        <v>164721837</v>
      </c>
      <c r="N15" s="68" t="s">
        <v>50</v>
      </c>
    </row>
    <row r="16" spans="1:14" ht="15.75" customHeight="1">
      <c r="A16" s="69"/>
      <c r="B16" s="95"/>
      <c r="C16" s="96"/>
      <c r="D16" s="95"/>
      <c r="E16" s="96"/>
      <c r="F16" s="97"/>
      <c r="G16" s="96"/>
      <c r="H16" s="97"/>
      <c r="I16" s="96"/>
      <c r="J16" s="97"/>
      <c r="K16" s="96"/>
      <c r="L16" s="97"/>
      <c r="M16" s="96"/>
      <c r="N16" s="70"/>
    </row>
    <row r="17" spans="1:14" ht="15.75" customHeight="1">
      <c r="A17" s="62" t="s">
        <v>51</v>
      </c>
      <c r="B17" s="86">
        <f>_xlfn.COMPOUNDVALUE(33)</f>
        <v>5768</v>
      </c>
      <c r="C17" s="87">
        <v>45941729</v>
      </c>
      <c r="D17" s="86">
        <f>_xlfn.COMPOUNDVALUE(34)</f>
        <v>2656</v>
      </c>
      <c r="E17" s="87">
        <v>1569680</v>
      </c>
      <c r="F17" s="86">
        <f>_xlfn.COMPOUNDVALUE(35)</f>
        <v>8424</v>
      </c>
      <c r="G17" s="87">
        <v>47511409</v>
      </c>
      <c r="H17" s="86">
        <f>_xlfn.COMPOUNDVALUE(36)</f>
        <v>291</v>
      </c>
      <c r="I17" s="88">
        <v>2123921</v>
      </c>
      <c r="J17" s="86">
        <v>576</v>
      </c>
      <c r="K17" s="88">
        <v>120268</v>
      </c>
      <c r="L17" s="86">
        <v>8774</v>
      </c>
      <c r="M17" s="88">
        <v>45507756</v>
      </c>
      <c r="N17" s="71" t="s">
        <v>51</v>
      </c>
    </row>
    <row r="18" spans="1:14" ht="15.75" customHeight="1">
      <c r="A18" s="65" t="s">
        <v>52</v>
      </c>
      <c r="B18" s="89">
        <f>_xlfn.COMPOUNDVALUE(37)</f>
        <v>1648</v>
      </c>
      <c r="C18" s="90">
        <v>10013485</v>
      </c>
      <c r="D18" s="89">
        <f>_xlfn.COMPOUNDVALUE(38)</f>
        <v>804</v>
      </c>
      <c r="E18" s="90">
        <v>461001</v>
      </c>
      <c r="F18" s="89">
        <f>_xlfn.COMPOUNDVALUE(39)</f>
        <v>2452</v>
      </c>
      <c r="G18" s="90">
        <v>10474485</v>
      </c>
      <c r="H18" s="89">
        <f>_xlfn.COMPOUNDVALUE(40)</f>
        <v>108</v>
      </c>
      <c r="I18" s="91">
        <v>458715</v>
      </c>
      <c r="J18" s="89">
        <v>131</v>
      </c>
      <c r="K18" s="91">
        <v>23206</v>
      </c>
      <c r="L18" s="89">
        <v>2568</v>
      </c>
      <c r="M18" s="91">
        <v>10038976</v>
      </c>
      <c r="N18" s="66" t="s">
        <v>52</v>
      </c>
    </row>
    <row r="19" spans="1:14" ht="15.75" customHeight="1">
      <c r="A19" s="65" t="s">
        <v>53</v>
      </c>
      <c r="B19" s="89">
        <f>_xlfn.COMPOUNDVALUE(41)</f>
        <v>3907</v>
      </c>
      <c r="C19" s="90">
        <v>25370336</v>
      </c>
      <c r="D19" s="89">
        <f>_xlfn.COMPOUNDVALUE(42)</f>
        <v>1914</v>
      </c>
      <c r="E19" s="90">
        <v>1150484</v>
      </c>
      <c r="F19" s="89">
        <f>_xlfn.COMPOUNDVALUE(43)</f>
        <v>5821</v>
      </c>
      <c r="G19" s="90">
        <v>26520820</v>
      </c>
      <c r="H19" s="89">
        <f>_xlfn.COMPOUNDVALUE(44)</f>
        <v>315</v>
      </c>
      <c r="I19" s="91">
        <v>3364018</v>
      </c>
      <c r="J19" s="89">
        <v>349</v>
      </c>
      <c r="K19" s="91">
        <v>7218</v>
      </c>
      <c r="L19" s="89">
        <v>6169</v>
      </c>
      <c r="M19" s="91">
        <v>23164020</v>
      </c>
      <c r="N19" s="66" t="s">
        <v>53</v>
      </c>
    </row>
    <row r="20" spans="1:14" ht="15.75" customHeight="1">
      <c r="A20" s="65" t="s">
        <v>54</v>
      </c>
      <c r="B20" s="89">
        <f>_xlfn.COMPOUNDVALUE(45)</f>
        <v>1234</v>
      </c>
      <c r="C20" s="90">
        <v>6648772</v>
      </c>
      <c r="D20" s="89">
        <f>_xlfn.COMPOUNDVALUE(46)</f>
        <v>547</v>
      </c>
      <c r="E20" s="90">
        <v>299711</v>
      </c>
      <c r="F20" s="89">
        <f>_xlfn.COMPOUNDVALUE(47)</f>
        <v>1781</v>
      </c>
      <c r="G20" s="90">
        <v>6948483</v>
      </c>
      <c r="H20" s="89">
        <f>_xlfn.COMPOUNDVALUE(48)</f>
        <v>75</v>
      </c>
      <c r="I20" s="91">
        <v>691812</v>
      </c>
      <c r="J20" s="89">
        <v>105</v>
      </c>
      <c r="K20" s="91">
        <v>50179</v>
      </c>
      <c r="L20" s="89">
        <v>1861</v>
      </c>
      <c r="M20" s="91">
        <v>6306850</v>
      </c>
      <c r="N20" s="66" t="s">
        <v>54</v>
      </c>
    </row>
    <row r="21" spans="1:14" ht="15.75" customHeight="1">
      <c r="A21" s="65" t="s">
        <v>55</v>
      </c>
      <c r="B21" s="89">
        <f>_xlfn.COMPOUNDVALUE(49)</f>
        <v>2032</v>
      </c>
      <c r="C21" s="90">
        <v>9849380</v>
      </c>
      <c r="D21" s="89">
        <f>_xlfn.COMPOUNDVALUE(50)</f>
        <v>1022</v>
      </c>
      <c r="E21" s="90">
        <v>561853</v>
      </c>
      <c r="F21" s="89">
        <f>_xlfn.COMPOUNDVALUE(51)</f>
        <v>3054</v>
      </c>
      <c r="G21" s="90">
        <v>10411233</v>
      </c>
      <c r="H21" s="89">
        <f>_xlfn.COMPOUNDVALUE(52)</f>
        <v>100</v>
      </c>
      <c r="I21" s="91">
        <v>795533</v>
      </c>
      <c r="J21" s="89">
        <v>244</v>
      </c>
      <c r="K21" s="91">
        <v>31047</v>
      </c>
      <c r="L21" s="89">
        <v>3167</v>
      </c>
      <c r="M21" s="91">
        <v>9646747</v>
      </c>
      <c r="N21" s="66" t="s">
        <v>55</v>
      </c>
    </row>
    <row r="22" spans="1:14" ht="15.75" customHeight="1">
      <c r="A22" s="65" t="s">
        <v>56</v>
      </c>
      <c r="B22" s="89">
        <f>_xlfn.COMPOUNDVALUE(53)</f>
        <v>1168</v>
      </c>
      <c r="C22" s="90">
        <v>9791520</v>
      </c>
      <c r="D22" s="89">
        <f>_xlfn.COMPOUNDVALUE(54)</f>
        <v>599</v>
      </c>
      <c r="E22" s="90">
        <v>328663</v>
      </c>
      <c r="F22" s="89">
        <f>_xlfn.COMPOUNDVALUE(55)</f>
        <v>1767</v>
      </c>
      <c r="G22" s="90">
        <v>10120184</v>
      </c>
      <c r="H22" s="89">
        <f>_xlfn.COMPOUNDVALUE(56)</f>
        <v>89</v>
      </c>
      <c r="I22" s="91">
        <v>462313</v>
      </c>
      <c r="J22" s="89">
        <v>93</v>
      </c>
      <c r="K22" s="91">
        <v>14954</v>
      </c>
      <c r="L22" s="89">
        <v>1875</v>
      </c>
      <c r="M22" s="91">
        <v>9672825</v>
      </c>
      <c r="N22" s="66" t="s">
        <v>56</v>
      </c>
    </row>
    <row r="23" spans="1:14" ht="15.75" customHeight="1">
      <c r="A23" s="65" t="s">
        <v>57</v>
      </c>
      <c r="B23" s="89">
        <f>_xlfn.COMPOUNDVALUE(57)</f>
        <v>2032</v>
      </c>
      <c r="C23" s="90">
        <v>9981791</v>
      </c>
      <c r="D23" s="89">
        <f>_xlfn.COMPOUNDVALUE(58)</f>
        <v>880</v>
      </c>
      <c r="E23" s="90">
        <v>513116</v>
      </c>
      <c r="F23" s="89">
        <f>_xlfn.COMPOUNDVALUE(59)</f>
        <v>2912</v>
      </c>
      <c r="G23" s="90">
        <v>10494907</v>
      </c>
      <c r="H23" s="89">
        <f>_xlfn.COMPOUNDVALUE(60)</f>
        <v>114</v>
      </c>
      <c r="I23" s="91">
        <v>2981517</v>
      </c>
      <c r="J23" s="89">
        <v>223</v>
      </c>
      <c r="K23" s="91">
        <v>42444</v>
      </c>
      <c r="L23" s="89">
        <v>3051</v>
      </c>
      <c r="M23" s="91">
        <v>7555834</v>
      </c>
      <c r="N23" s="66" t="s">
        <v>57</v>
      </c>
    </row>
    <row r="24" spans="1:14" ht="15.75" customHeight="1">
      <c r="A24" s="65" t="s">
        <v>58</v>
      </c>
      <c r="B24" s="89">
        <f>_xlfn.COMPOUNDVALUE(61)</f>
        <v>1196</v>
      </c>
      <c r="C24" s="90">
        <v>6169929</v>
      </c>
      <c r="D24" s="89">
        <f>_xlfn.COMPOUNDVALUE(62)</f>
        <v>674</v>
      </c>
      <c r="E24" s="90">
        <v>378051</v>
      </c>
      <c r="F24" s="89">
        <f>_xlfn.COMPOUNDVALUE(63)</f>
        <v>1870</v>
      </c>
      <c r="G24" s="90">
        <v>6547979</v>
      </c>
      <c r="H24" s="89">
        <f>_xlfn.COMPOUNDVALUE(64)</f>
        <v>71</v>
      </c>
      <c r="I24" s="91">
        <v>456335</v>
      </c>
      <c r="J24" s="89">
        <v>94</v>
      </c>
      <c r="K24" s="91">
        <v>19839</v>
      </c>
      <c r="L24" s="89">
        <v>1953</v>
      </c>
      <c r="M24" s="91">
        <v>6111483</v>
      </c>
      <c r="N24" s="66" t="s">
        <v>58</v>
      </c>
    </row>
    <row r="25" spans="1:14" ht="15.75" customHeight="1">
      <c r="A25" s="67" t="s">
        <v>146</v>
      </c>
      <c r="B25" s="92">
        <v>18985</v>
      </c>
      <c r="C25" s="93">
        <v>123766942</v>
      </c>
      <c r="D25" s="92">
        <v>9096</v>
      </c>
      <c r="E25" s="93">
        <v>5262558</v>
      </c>
      <c r="F25" s="92">
        <v>28081</v>
      </c>
      <c r="G25" s="93">
        <v>129029500</v>
      </c>
      <c r="H25" s="92">
        <v>1163</v>
      </c>
      <c r="I25" s="94">
        <v>11334165</v>
      </c>
      <c r="J25" s="92">
        <v>1815</v>
      </c>
      <c r="K25" s="94">
        <v>309153</v>
      </c>
      <c r="L25" s="92">
        <v>29418</v>
      </c>
      <c r="M25" s="94">
        <v>118004488</v>
      </c>
      <c r="N25" s="68" t="s">
        <v>60</v>
      </c>
    </row>
    <row r="26" spans="1:14" ht="15.75" customHeight="1">
      <c r="A26" s="69"/>
      <c r="B26" s="95"/>
      <c r="C26" s="96"/>
      <c r="D26" s="95"/>
      <c r="E26" s="96"/>
      <c r="F26" s="97"/>
      <c r="G26" s="96"/>
      <c r="H26" s="97"/>
      <c r="I26" s="96"/>
      <c r="J26" s="97"/>
      <c r="K26" s="96"/>
      <c r="L26" s="97"/>
      <c r="M26" s="96"/>
      <c r="N26" s="70"/>
    </row>
    <row r="27" spans="1:14" ht="15.75" customHeight="1">
      <c r="A27" s="62" t="s">
        <v>61</v>
      </c>
      <c r="B27" s="86">
        <f>_xlfn.COMPOUNDVALUE(65)</f>
        <v>3713</v>
      </c>
      <c r="C27" s="87">
        <v>34270166</v>
      </c>
      <c r="D27" s="86">
        <f>_xlfn.COMPOUNDVALUE(66)</f>
        <v>1714</v>
      </c>
      <c r="E27" s="87">
        <v>980385</v>
      </c>
      <c r="F27" s="86">
        <f>_xlfn.COMPOUNDVALUE(67)</f>
        <v>5427</v>
      </c>
      <c r="G27" s="87">
        <v>35250552</v>
      </c>
      <c r="H27" s="86">
        <f>_xlfn.COMPOUNDVALUE(68)</f>
        <v>291</v>
      </c>
      <c r="I27" s="88">
        <v>1175902</v>
      </c>
      <c r="J27" s="86">
        <v>381</v>
      </c>
      <c r="K27" s="88">
        <v>94543</v>
      </c>
      <c r="L27" s="86">
        <v>5757</v>
      </c>
      <c r="M27" s="88">
        <v>34169193</v>
      </c>
      <c r="N27" s="71" t="s">
        <v>61</v>
      </c>
    </row>
    <row r="28" spans="1:14" ht="15.75" customHeight="1">
      <c r="A28" s="62" t="s">
        <v>62</v>
      </c>
      <c r="B28" s="86">
        <f>_xlfn.COMPOUNDVALUE(69)</f>
        <v>5360</v>
      </c>
      <c r="C28" s="87">
        <v>51120583</v>
      </c>
      <c r="D28" s="86">
        <f>_xlfn.COMPOUNDVALUE(70)</f>
        <v>2466</v>
      </c>
      <c r="E28" s="87">
        <v>1431943</v>
      </c>
      <c r="F28" s="86">
        <f>_xlfn.COMPOUNDVALUE(71)</f>
        <v>7826</v>
      </c>
      <c r="G28" s="87">
        <v>52552526</v>
      </c>
      <c r="H28" s="86">
        <f>_xlfn.COMPOUNDVALUE(72)</f>
        <v>363</v>
      </c>
      <c r="I28" s="88">
        <v>8555140</v>
      </c>
      <c r="J28" s="86">
        <v>492</v>
      </c>
      <c r="K28" s="88">
        <v>50118</v>
      </c>
      <c r="L28" s="86">
        <v>8247</v>
      </c>
      <c r="M28" s="88">
        <v>44047504</v>
      </c>
      <c r="N28" s="63" t="s">
        <v>62</v>
      </c>
    </row>
    <row r="29" spans="1:14" ht="15.75" customHeight="1">
      <c r="A29" s="65" t="s">
        <v>63</v>
      </c>
      <c r="B29" s="89">
        <f>_xlfn.COMPOUNDVALUE(73)</f>
        <v>1726</v>
      </c>
      <c r="C29" s="90">
        <v>10165096</v>
      </c>
      <c r="D29" s="89">
        <f>_xlfn.COMPOUNDVALUE(74)</f>
        <v>731</v>
      </c>
      <c r="E29" s="90">
        <v>399557</v>
      </c>
      <c r="F29" s="89">
        <f>_xlfn.COMPOUNDVALUE(75)</f>
        <v>2457</v>
      </c>
      <c r="G29" s="90">
        <v>10564653</v>
      </c>
      <c r="H29" s="89">
        <f>_xlfn.COMPOUNDVALUE(76)</f>
        <v>124</v>
      </c>
      <c r="I29" s="91">
        <v>2679647</v>
      </c>
      <c r="J29" s="89">
        <v>173</v>
      </c>
      <c r="K29" s="91">
        <v>52234</v>
      </c>
      <c r="L29" s="89">
        <v>2594</v>
      </c>
      <c r="M29" s="91">
        <v>7937240</v>
      </c>
      <c r="N29" s="66" t="s">
        <v>63</v>
      </c>
    </row>
    <row r="30" spans="1:14" ht="15.75" customHeight="1">
      <c r="A30" s="65" t="s">
        <v>64</v>
      </c>
      <c r="B30" s="89">
        <f>_xlfn.COMPOUNDVALUE(77)</f>
        <v>2460</v>
      </c>
      <c r="C30" s="90">
        <v>16465852</v>
      </c>
      <c r="D30" s="89">
        <f>_xlfn.COMPOUNDVALUE(78)</f>
        <v>940</v>
      </c>
      <c r="E30" s="90">
        <v>585591</v>
      </c>
      <c r="F30" s="89">
        <f>_xlfn.COMPOUNDVALUE(79)</f>
        <v>3400</v>
      </c>
      <c r="G30" s="90">
        <v>17051443</v>
      </c>
      <c r="H30" s="89">
        <f>_xlfn.COMPOUNDVALUE(80)</f>
        <v>277</v>
      </c>
      <c r="I30" s="91">
        <v>4524169</v>
      </c>
      <c r="J30" s="89">
        <v>217</v>
      </c>
      <c r="K30" s="91">
        <v>46770</v>
      </c>
      <c r="L30" s="89">
        <v>3712</v>
      </c>
      <c r="M30" s="91">
        <v>12574044</v>
      </c>
      <c r="N30" s="66" t="s">
        <v>64</v>
      </c>
    </row>
    <row r="31" spans="1:14" ht="15.75" customHeight="1">
      <c r="A31" s="65" t="s">
        <v>65</v>
      </c>
      <c r="B31" s="89">
        <f>_xlfn.COMPOUNDVALUE(81)</f>
        <v>889</v>
      </c>
      <c r="C31" s="90">
        <v>3862076</v>
      </c>
      <c r="D31" s="89">
        <f>_xlfn.COMPOUNDVALUE(82)</f>
        <v>350</v>
      </c>
      <c r="E31" s="90">
        <v>195029</v>
      </c>
      <c r="F31" s="89">
        <f>_xlfn.COMPOUNDVALUE(83)</f>
        <v>1239</v>
      </c>
      <c r="G31" s="90">
        <v>4057105</v>
      </c>
      <c r="H31" s="89">
        <f>_xlfn.COMPOUNDVALUE(84)</f>
        <v>32</v>
      </c>
      <c r="I31" s="91">
        <v>148259</v>
      </c>
      <c r="J31" s="89">
        <v>103</v>
      </c>
      <c r="K31" s="91">
        <v>6343</v>
      </c>
      <c r="L31" s="89">
        <v>1277</v>
      </c>
      <c r="M31" s="91">
        <v>3915189</v>
      </c>
      <c r="N31" s="66" t="s">
        <v>65</v>
      </c>
    </row>
    <row r="32" spans="1:14" ht="15.75" customHeight="1">
      <c r="A32" s="65" t="s">
        <v>66</v>
      </c>
      <c r="B32" s="89">
        <f>_xlfn.COMPOUNDVALUE(85)</f>
        <v>4003</v>
      </c>
      <c r="C32" s="90">
        <v>30302532</v>
      </c>
      <c r="D32" s="89">
        <f>_xlfn.COMPOUNDVALUE(86)</f>
        <v>1607</v>
      </c>
      <c r="E32" s="90">
        <v>1005192</v>
      </c>
      <c r="F32" s="89">
        <f>_xlfn.COMPOUNDVALUE(87)</f>
        <v>5610</v>
      </c>
      <c r="G32" s="90">
        <v>31307724</v>
      </c>
      <c r="H32" s="89">
        <f>_xlfn.COMPOUNDVALUE(88)</f>
        <v>380</v>
      </c>
      <c r="I32" s="91">
        <v>2576558</v>
      </c>
      <c r="J32" s="89">
        <v>347</v>
      </c>
      <c r="K32" s="91">
        <v>54916</v>
      </c>
      <c r="L32" s="89">
        <v>6016</v>
      </c>
      <c r="M32" s="91">
        <v>28786082</v>
      </c>
      <c r="N32" s="66" t="s">
        <v>66</v>
      </c>
    </row>
    <row r="33" spans="1:14" ht="15.75" customHeight="1">
      <c r="A33" s="65" t="s">
        <v>67</v>
      </c>
      <c r="B33" s="89">
        <f>_xlfn.COMPOUNDVALUE(89)</f>
        <v>601</v>
      </c>
      <c r="C33" s="90">
        <v>2910618</v>
      </c>
      <c r="D33" s="89">
        <f>_xlfn.COMPOUNDVALUE(90)</f>
        <v>280</v>
      </c>
      <c r="E33" s="90">
        <v>149891</v>
      </c>
      <c r="F33" s="89">
        <f>_xlfn.COMPOUNDVALUE(91)</f>
        <v>881</v>
      </c>
      <c r="G33" s="90">
        <v>3060508</v>
      </c>
      <c r="H33" s="89">
        <f>_xlfn.COMPOUNDVALUE(92)</f>
        <v>41</v>
      </c>
      <c r="I33" s="91">
        <v>85028</v>
      </c>
      <c r="J33" s="89">
        <v>50</v>
      </c>
      <c r="K33" s="91">
        <v>6707</v>
      </c>
      <c r="L33" s="89">
        <v>926</v>
      </c>
      <c r="M33" s="91">
        <v>2982187</v>
      </c>
      <c r="N33" s="66" t="s">
        <v>67</v>
      </c>
    </row>
    <row r="34" spans="1:14" ht="15.75" customHeight="1">
      <c r="A34" s="65" t="s">
        <v>68</v>
      </c>
      <c r="B34" s="89">
        <f>_xlfn.COMPOUNDVALUE(93)</f>
        <v>706</v>
      </c>
      <c r="C34" s="90">
        <v>4332713</v>
      </c>
      <c r="D34" s="89">
        <f>_xlfn.COMPOUNDVALUE(94)</f>
        <v>376</v>
      </c>
      <c r="E34" s="90">
        <v>222091</v>
      </c>
      <c r="F34" s="89">
        <f>_xlfn.COMPOUNDVALUE(95)</f>
        <v>1082</v>
      </c>
      <c r="G34" s="90">
        <v>4554804</v>
      </c>
      <c r="H34" s="89">
        <f>_xlfn.COMPOUNDVALUE(96)</f>
        <v>37</v>
      </c>
      <c r="I34" s="91">
        <v>65918</v>
      </c>
      <c r="J34" s="89">
        <v>57</v>
      </c>
      <c r="K34" s="91">
        <v>1926</v>
      </c>
      <c r="L34" s="89">
        <v>1122</v>
      </c>
      <c r="M34" s="91">
        <v>4490812</v>
      </c>
      <c r="N34" s="66" t="s">
        <v>68</v>
      </c>
    </row>
    <row r="35" spans="1:14" ht="15.75" customHeight="1">
      <c r="A35" s="65" t="s">
        <v>69</v>
      </c>
      <c r="B35" s="89">
        <f>_xlfn.COMPOUNDVALUE(97)</f>
        <v>695</v>
      </c>
      <c r="C35" s="90">
        <v>2964865</v>
      </c>
      <c r="D35" s="89">
        <f>_xlfn.COMPOUNDVALUE(98)</f>
        <v>284</v>
      </c>
      <c r="E35" s="90">
        <v>162277</v>
      </c>
      <c r="F35" s="89">
        <f>_xlfn.COMPOUNDVALUE(99)</f>
        <v>979</v>
      </c>
      <c r="G35" s="90">
        <v>3127142</v>
      </c>
      <c r="H35" s="89">
        <f>_xlfn.COMPOUNDVALUE(100)</f>
        <v>39</v>
      </c>
      <c r="I35" s="91">
        <v>73216</v>
      </c>
      <c r="J35" s="89">
        <v>80</v>
      </c>
      <c r="K35" s="91">
        <v>16796</v>
      </c>
      <c r="L35" s="89">
        <v>1020</v>
      </c>
      <c r="M35" s="91">
        <v>3070722</v>
      </c>
      <c r="N35" s="66" t="s">
        <v>69</v>
      </c>
    </row>
    <row r="36" spans="1:14" ht="15.75" customHeight="1">
      <c r="A36" s="67" t="s">
        <v>147</v>
      </c>
      <c r="B36" s="92">
        <v>20153</v>
      </c>
      <c r="C36" s="93">
        <v>156394500</v>
      </c>
      <c r="D36" s="92">
        <v>8748</v>
      </c>
      <c r="E36" s="93">
        <v>5131956</v>
      </c>
      <c r="F36" s="92">
        <v>28901</v>
      </c>
      <c r="G36" s="93">
        <v>161526457</v>
      </c>
      <c r="H36" s="92">
        <v>1584</v>
      </c>
      <c r="I36" s="94">
        <v>19883838</v>
      </c>
      <c r="J36" s="92">
        <v>1900</v>
      </c>
      <c r="K36" s="94">
        <v>330350</v>
      </c>
      <c r="L36" s="92">
        <v>30671</v>
      </c>
      <c r="M36" s="94">
        <v>141972969</v>
      </c>
      <c r="N36" s="68" t="s">
        <v>71</v>
      </c>
    </row>
    <row r="37" spans="1:14" ht="15.75" customHeight="1">
      <c r="A37" s="69"/>
      <c r="B37" s="95"/>
      <c r="C37" s="96"/>
      <c r="D37" s="95"/>
      <c r="E37" s="96"/>
      <c r="F37" s="97"/>
      <c r="G37" s="96"/>
      <c r="H37" s="97"/>
      <c r="I37" s="96"/>
      <c r="J37" s="97"/>
      <c r="K37" s="96"/>
      <c r="L37" s="97"/>
      <c r="M37" s="96"/>
      <c r="N37" s="70"/>
    </row>
    <row r="38" spans="1:14" ht="15.75" customHeight="1">
      <c r="A38" s="62" t="s">
        <v>72</v>
      </c>
      <c r="B38" s="86">
        <f>_xlfn.COMPOUNDVALUE(101)</f>
        <v>6523</v>
      </c>
      <c r="C38" s="87">
        <v>42898818</v>
      </c>
      <c r="D38" s="86">
        <f>_xlfn.COMPOUNDVALUE(102)</f>
        <v>3208</v>
      </c>
      <c r="E38" s="87">
        <v>1943935</v>
      </c>
      <c r="F38" s="86">
        <f>_xlfn.COMPOUNDVALUE(103)</f>
        <v>9731</v>
      </c>
      <c r="G38" s="87">
        <v>44842753</v>
      </c>
      <c r="H38" s="86">
        <f>_xlfn.COMPOUNDVALUE(104)</f>
        <v>511</v>
      </c>
      <c r="I38" s="88">
        <v>2549082</v>
      </c>
      <c r="J38" s="86">
        <v>502</v>
      </c>
      <c r="K38" s="88">
        <v>-151155</v>
      </c>
      <c r="L38" s="86">
        <v>10312</v>
      </c>
      <c r="M38" s="88">
        <v>42142516</v>
      </c>
      <c r="N38" s="71" t="s">
        <v>72</v>
      </c>
    </row>
    <row r="39" spans="1:14" ht="15.75" customHeight="1">
      <c r="A39" s="62" t="s">
        <v>73</v>
      </c>
      <c r="B39" s="86">
        <f>_xlfn.COMPOUNDVALUE(105)</f>
        <v>3151</v>
      </c>
      <c r="C39" s="87">
        <v>20198748</v>
      </c>
      <c r="D39" s="86">
        <f>_xlfn.COMPOUNDVALUE(106)</f>
        <v>1280</v>
      </c>
      <c r="E39" s="87">
        <v>760904</v>
      </c>
      <c r="F39" s="86">
        <f>_xlfn.COMPOUNDVALUE(107)</f>
        <v>4431</v>
      </c>
      <c r="G39" s="87">
        <v>20959652</v>
      </c>
      <c r="H39" s="86">
        <f>_xlfn.COMPOUNDVALUE(108)</f>
        <v>213</v>
      </c>
      <c r="I39" s="88">
        <v>555538</v>
      </c>
      <c r="J39" s="86">
        <v>293</v>
      </c>
      <c r="K39" s="88">
        <v>67811</v>
      </c>
      <c r="L39" s="86">
        <v>4672</v>
      </c>
      <c r="M39" s="88">
        <v>20471925</v>
      </c>
      <c r="N39" s="63" t="s">
        <v>73</v>
      </c>
    </row>
    <row r="40" spans="1:14" ht="15.75" customHeight="1">
      <c r="A40" s="62" t="s">
        <v>74</v>
      </c>
      <c r="B40" s="86">
        <f>_xlfn.COMPOUNDVALUE(109)</f>
        <v>7580</v>
      </c>
      <c r="C40" s="87">
        <v>36597706</v>
      </c>
      <c r="D40" s="86">
        <f>_xlfn.COMPOUNDVALUE(110)</f>
        <v>3567</v>
      </c>
      <c r="E40" s="87">
        <v>2204607</v>
      </c>
      <c r="F40" s="86">
        <f>_xlfn.COMPOUNDVALUE(111)</f>
        <v>11147</v>
      </c>
      <c r="G40" s="87">
        <v>38802313</v>
      </c>
      <c r="H40" s="86">
        <f>_xlfn.COMPOUNDVALUE(112)</f>
        <v>709</v>
      </c>
      <c r="I40" s="88">
        <v>3079905</v>
      </c>
      <c r="J40" s="86">
        <v>636</v>
      </c>
      <c r="K40" s="88">
        <v>324626</v>
      </c>
      <c r="L40" s="86">
        <v>11934</v>
      </c>
      <c r="M40" s="88">
        <v>36047034</v>
      </c>
      <c r="N40" s="63" t="s">
        <v>74</v>
      </c>
    </row>
    <row r="41" spans="1:14" ht="15.75" customHeight="1">
      <c r="A41" s="62" t="s">
        <v>75</v>
      </c>
      <c r="B41" s="86">
        <f>_xlfn.COMPOUNDVALUE(113)</f>
        <v>3969</v>
      </c>
      <c r="C41" s="87">
        <v>24101049</v>
      </c>
      <c r="D41" s="86">
        <f>_xlfn.COMPOUNDVALUE(114)</f>
        <v>1921</v>
      </c>
      <c r="E41" s="87">
        <v>1278669</v>
      </c>
      <c r="F41" s="86">
        <f>_xlfn.COMPOUNDVALUE(115)</f>
        <v>5890</v>
      </c>
      <c r="G41" s="87">
        <v>25379719</v>
      </c>
      <c r="H41" s="86">
        <f>_xlfn.COMPOUNDVALUE(116)</f>
        <v>559</v>
      </c>
      <c r="I41" s="88">
        <v>2107013</v>
      </c>
      <c r="J41" s="86">
        <v>420</v>
      </c>
      <c r="K41" s="88">
        <v>114655</v>
      </c>
      <c r="L41" s="86">
        <v>6517</v>
      </c>
      <c r="M41" s="88">
        <v>23387361</v>
      </c>
      <c r="N41" s="63" t="s">
        <v>75</v>
      </c>
    </row>
    <row r="42" spans="1:14" ht="15.75" customHeight="1">
      <c r="A42" s="62" t="s">
        <v>76</v>
      </c>
      <c r="B42" s="86">
        <f>_xlfn.COMPOUNDVALUE(117)</f>
        <v>5213</v>
      </c>
      <c r="C42" s="87">
        <v>49852162</v>
      </c>
      <c r="D42" s="86">
        <f>_xlfn.COMPOUNDVALUE(118)</f>
        <v>2386</v>
      </c>
      <c r="E42" s="87">
        <v>1521887</v>
      </c>
      <c r="F42" s="86">
        <f>_xlfn.COMPOUNDVALUE(119)</f>
        <v>7599</v>
      </c>
      <c r="G42" s="87">
        <v>51374050</v>
      </c>
      <c r="H42" s="86">
        <f>_xlfn.COMPOUNDVALUE(120)</f>
        <v>608</v>
      </c>
      <c r="I42" s="88">
        <v>4111297</v>
      </c>
      <c r="J42" s="86">
        <v>483</v>
      </c>
      <c r="K42" s="88">
        <v>344503</v>
      </c>
      <c r="L42" s="86">
        <v>8260</v>
      </c>
      <c r="M42" s="88">
        <v>47607256</v>
      </c>
      <c r="N42" s="63" t="s">
        <v>76</v>
      </c>
    </row>
    <row r="43" spans="1:14" ht="15.75" customHeight="1">
      <c r="A43" s="62" t="s">
        <v>77</v>
      </c>
      <c r="B43" s="86">
        <f>_xlfn.COMPOUNDVALUE(121)</f>
        <v>4788</v>
      </c>
      <c r="C43" s="87">
        <v>48764038</v>
      </c>
      <c r="D43" s="86">
        <f>_xlfn.COMPOUNDVALUE(122)</f>
        <v>1966</v>
      </c>
      <c r="E43" s="87">
        <v>1236268</v>
      </c>
      <c r="F43" s="86">
        <f>_xlfn.COMPOUNDVALUE(123)</f>
        <v>6754</v>
      </c>
      <c r="G43" s="87">
        <v>50000306</v>
      </c>
      <c r="H43" s="86">
        <f>_xlfn.COMPOUNDVALUE(124)</f>
        <v>425</v>
      </c>
      <c r="I43" s="88">
        <v>2990276</v>
      </c>
      <c r="J43" s="86">
        <v>445</v>
      </c>
      <c r="K43" s="88">
        <v>139105</v>
      </c>
      <c r="L43" s="86">
        <v>7221</v>
      </c>
      <c r="M43" s="88">
        <v>47149135</v>
      </c>
      <c r="N43" s="63" t="s">
        <v>77</v>
      </c>
    </row>
    <row r="44" spans="1:14" ht="15.75" customHeight="1">
      <c r="A44" s="62" t="s">
        <v>78</v>
      </c>
      <c r="B44" s="86">
        <f>_xlfn.COMPOUNDVALUE(125)</f>
        <v>2013</v>
      </c>
      <c r="C44" s="87">
        <v>12058619</v>
      </c>
      <c r="D44" s="86">
        <f>_xlfn.COMPOUNDVALUE(126)</f>
        <v>850</v>
      </c>
      <c r="E44" s="87">
        <v>464352</v>
      </c>
      <c r="F44" s="86">
        <f>_xlfn.COMPOUNDVALUE(127)</f>
        <v>2863</v>
      </c>
      <c r="G44" s="87">
        <v>12522971</v>
      </c>
      <c r="H44" s="86">
        <f>_xlfn.COMPOUNDVALUE(128)</f>
        <v>194</v>
      </c>
      <c r="I44" s="88">
        <v>2692643</v>
      </c>
      <c r="J44" s="86">
        <v>159</v>
      </c>
      <c r="K44" s="88">
        <v>-8669</v>
      </c>
      <c r="L44" s="86">
        <v>3070</v>
      </c>
      <c r="M44" s="88">
        <v>9821659</v>
      </c>
      <c r="N44" s="63" t="s">
        <v>78</v>
      </c>
    </row>
    <row r="45" spans="1:14" ht="15.75" customHeight="1">
      <c r="A45" s="62" t="s">
        <v>79</v>
      </c>
      <c r="B45" s="86">
        <f>_xlfn.COMPOUNDVALUE(129)</f>
        <v>953</v>
      </c>
      <c r="C45" s="87">
        <v>5899269</v>
      </c>
      <c r="D45" s="86">
        <f>_xlfn.COMPOUNDVALUE(130)</f>
        <v>482</v>
      </c>
      <c r="E45" s="87">
        <v>282022</v>
      </c>
      <c r="F45" s="86">
        <f>_xlfn.COMPOUNDVALUE(131)</f>
        <v>1435</v>
      </c>
      <c r="G45" s="87">
        <v>6181291</v>
      </c>
      <c r="H45" s="86">
        <f>_xlfn.COMPOUNDVALUE(132)</f>
        <v>43</v>
      </c>
      <c r="I45" s="88">
        <v>140629</v>
      </c>
      <c r="J45" s="86">
        <v>124</v>
      </c>
      <c r="K45" s="88">
        <v>17551</v>
      </c>
      <c r="L45" s="86">
        <v>1481</v>
      </c>
      <c r="M45" s="88">
        <v>6058213</v>
      </c>
      <c r="N45" s="63" t="s">
        <v>79</v>
      </c>
    </row>
    <row r="46" spans="1:14" ht="15.75" customHeight="1">
      <c r="A46" s="65" t="s">
        <v>80</v>
      </c>
      <c r="B46" s="89">
        <f>_xlfn.COMPOUNDVALUE(133)</f>
        <v>5236</v>
      </c>
      <c r="C46" s="90">
        <v>27875914</v>
      </c>
      <c r="D46" s="89">
        <f>_xlfn.COMPOUNDVALUE(134)</f>
        <v>2637</v>
      </c>
      <c r="E46" s="90">
        <v>1572301</v>
      </c>
      <c r="F46" s="89">
        <f>_xlfn.COMPOUNDVALUE(135)</f>
        <v>7873</v>
      </c>
      <c r="G46" s="90">
        <v>29448215</v>
      </c>
      <c r="H46" s="89">
        <f>_xlfn.COMPOUNDVALUE(136)</f>
        <v>433</v>
      </c>
      <c r="I46" s="91">
        <v>1872129</v>
      </c>
      <c r="J46" s="89">
        <v>539</v>
      </c>
      <c r="K46" s="91">
        <v>112143</v>
      </c>
      <c r="L46" s="89">
        <v>8385</v>
      </c>
      <c r="M46" s="91">
        <v>27688229</v>
      </c>
      <c r="N46" s="66" t="s">
        <v>80</v>
      </c>
    </row>
    <row r="47" spans="1:14" ht="15.75" customHeight="1">
      <c r="A47" s="65" t="s">
        <v>81</v>
      </c>
      <c r="B47" s="89">
        <f>_xlfn.COMPOUNDVALUE(137)</f>
        <v>1057</v>
      </c>
      <c r="C47" s="90">
        <v>11447290</v>
      </c>
      <c r="D47" s="89">
        <f>_xlfn.COMPOUNDVALUE(138)</f>
        <v>440</v>
      </c>
      <c r="E47" s="90">
        <v>249640</v>
      </c>
      <c r="F47" s="89">
        <f>_xlfn.COMPOUNDVALUE(139)</f>
        <v>1497</v>
      </c>
      <c r="G47" s="90">
        <v>11696930</v>
      </c>
      <c r="H47" s="89">
        <f>_xlfn.COMPOUNDVALUE(140)</f>
        <v>85</v>
      </c>
      <c r="I47" s="91">
        <v>659125</v>
      </c>
      <c r="J47" s="89">
        <v>81</v>
      </c>
      <c r="K47" s="91">
        <v>23947</v>
      </c>
      <c r="L47" s="89">
        <v>1596</v>
      </c>
      <c r="M47" s="91">
        <v>11061752</v>
      </c>
      <c r="N47" s="66" t="s">
        <v>81</v>
      </c>
    </row>
    <row r="48" spans="1:14" ht="15.75" customHeight="1">
      <c r="A48" s="65" t="s">
        <v>82</v>
      </c>
      <c r="B48" s="89">
        <f>_xlfn.COMPOUNDVALUE(141)</f>
        <v>1770</v>
      </c>
      <c r="C48" s="90">
        <v>10483791</v>
      </c>
      <c r="D48" s="89">
        <f>_xlfn.COMPOUNDVALUE(142)</f>
        <v>811</v>
      </c>
      <c r="E48" s="90">
        <v>461635</v>
      </c>
      <c r="F48" s="89">
        <f>_xlfn.COMPOUNDVALUE(143)</f>
        <v>2581</v>
      </c>
      <c r="G48" s="90">
        <v>10945426</v>
      </c>
      <c r="H48" s="89">
        <f>_xlfn.COMPOUNDVALUE(144)</f>
        <v>127</v>
      </c>
      <c r="I48" s="91">
        <v>970027</v>
      </c>
      <c r="J48" s="89">
        <v>202</v>
      </c>
      <c r="K48" s="91">
        <v>17450</v>
      </c>
      <c r="L48" s="89">
        <v>2719</v>
      </c>
      <c r="M48" s="91">
        <v>9992849</v>
      </c>
      <c r="N48" s="66" t="s">
        <v>82</v>
      </c>
    </row>
    <row r="49" spans="1:14" ht="15.75" customHeight="1">
      <c r="A49" s="65" t="s">
        <v>83</v>
      </c>
      <c r="B49" s="89">
        <f>_xlfn.COMPOUNDVALUE(145)</f>
        <v>5577</v>
      </c>
      <c r="C49" s="90">
        <v>28079422</v>
      </c>
      <c r="D49" s="89">
        <f>_xlfn.COMPOUNDVALUE(146)</f>
        <v>2470</v>
      </c>
      <c r="E49" s="90">
        <v>1474452</v>
      </c>
      <c r="F49" s="89">
        <f>_xlfn.COMPOUNDVALUE(147)</f>
        <v>8047</v>
      </c>
      <c r="G49" s="90">
        <v>29553875</v>
      </c>
      <c r="H49" s="89">
        <f>_xlfn.COMPOUNDVALUE(148)</f>
        <v>586</v>
      </c>
      <c r="I49" s="91">
        <v>3979234</v>
      </c>
      <c r="J49" s="89">
        <v>512</v>
      </c>
      <c r="K49" s="91">
        <v>106760</v>
      </c>
      <c r="L49" s="89">
        <v>8725</v>
      </c>
      <c r="M49" s="91">
        <v>25681401</v>
      </c>
      <c r="N49" s="66" t="s">
        <v>83</v>
      </c>
    </row>
    <row r="50" spans="1:14" ht="15.75" customHeight="1">
      <c r="A50" s="65" t="s">
        <v>84</v>
      </c>
      <c r="B50" s="89">
        <f>_xlfn.COMPOUNDVALUE(149)</f>
        <v>3432</v>
      </c>
      <c r="C50" s="90">
        <v>25631233</v>
      </c>
      <c r="D50" s="89">
        <f>_xlfn.COMPOUNDVALUE(150)</f>
        <v>1775</v>
      </c>
      <c r="E50" s="90">
        <v>1025993</v>
      </c>
      <c r="F50" s="89">
        <f>_xlfn.COMPOUNDVALUE(151)</f>
        <v>5207</v>
      </c>
      <c r="G50" s="90">
        <v>26657226</v>
      </c>
      <c r="H50" s="89">
        <f>_xlfn.COMPOUNDVALUE(152)</f>
        <v>272</v>
      </c>
      <c r="I50" s="91">
        <v>934998</v>
      </c>
      <c r="J50" s="89">
        <v>395</v>
      </c>
      <c r="K50" s="91">
        <v>87051</v>
      </c>
      <c r="L50" s="89">
        <v>5513</v>
      </c>
      <c r="M50" s="91">
        <v>25809279</v>
      </c>
      <c r="N50" s="66" t="s">
        <v>84</v>
      </c>
    </row>
    <row r="51" spans="1:14" ht="15.75" customHeight="1">
      <c r="A51" s="65" t="s">
        <v>85</v>
      </c>
      <c r="B51" s="89">
        <f>_xlfn.COMPOUNDVALUE(153)</f>
        <v>6657</v>
      </c>
      <c r="C51" s="90">
        <v>36161027</v>
      </c>
      <c r="D51" s="89">
        <f>_xlfn.COMPOUNDVALUE(154)</f>
        <v>3045</v>
      </c>
      <c r="E51" s="90">
        <v>1855662</v>
      </c>
      <c r="F51" s="89">
        <f>_xlfn.COMPOUNDVALUE(155)</f>
        <v>9702</v>
      </c>
      <c r="G51" s="90">
        <v>38016689</v>
      </c>
      <c r="H51" s="89">
        <f>_xlfn.COMPOUNDVALUE(156)</f>
        <v>629</v>
      </c>
      <c r="I51" s="91">
        <v>2572939</v>
      </c>
      <c r="J51" s="89">
        <v>527</v>
      </c>
      <c r="K51" s="91">
        <v>83565</v>
      </c>
      <c r="L51" s="89">
        <v>10377</v>
      </c>
      <c r="M51" s="91">
        <v>35527315</v>
      </c>
      <c r="N51" s="66" t="s">
        <v>85</v>
      </c>
    </row>
    <row r="52" spans="1:14" ht="15.75" customHeight="1">
      <c r="A52" s="65" t="s">
        <v>86</v>
      </c>
      <c r="B52" s="89">
        <f>_xlfn.COMPOUNDVALUE(157)</f>
        <v>3728</v>
      </c>
      <c r="C52" s="90">
        <v>43132315</v>
      </c>
      <c r="D52" s="89">
        <f>_xlfn.COMPOUNDVALUE(158)</f>
        <v>1830</v>
      </c>
      <c r="E52" s="90">
        <v>1139253</v>
      </c>
      <c r="F52" s="89">
        <f>_xlfn.COMPOUNDVALUE(159)</f>
        <v>5558</v>
      </c>
      <c r="G52" s="90">
        <v>44271568</v>
      </c>
      <c r="H52" s="89">
        <f>_xlfn.COMPOUNDVALUE(160)</f>
        <v>328</v>
      </c>
      <c r="I52" s="91">
        <v>3782045</v>
      </c>
      <c r="J52" s="89">
        <v>319</v>
      </c>
      <c r="K52" s="91">
        <v>38956</v>
      </c>
      <c r="L52" s="89">
        <v>5935</v>
      </c>
      <c r="M52" s="91">
        <v>40528479</v>
      </c>
      <c r="N52" s="66" t="s">
        <v>86</v>
      </c>
    </row>
    <row r="53" spans="1:14" ht="15.75" customHeight="1">
      <c r="A53" s="67" t="s">
        <v>148</v>
      </c>
      <c r="B53" s="92">
        <v>61647</v>
      </c>
      <c r="C53" s="93">
        <v>423181402</v>
      </c>
      <c r="D53" s="92">
        <v>28668</v>
      </c>
      <c r="E53" s="93">
        <v>17471579</v>
      </c>
      <c r="F53" s="92">
        <v>90315</v>
      </c>
      <c r="G53" s="93">
        <v>440652981</v>
      </c>
      <c r="H53" s="92">
        <v>5722</v>
      </c>
      <c r="I53" s="94">
        <v>32996880</v>
      </c>
      <c r="J53" s="92">
        <v>5637</v>
      </c>
      <c r="K53" s="94">
        <v>1318302</v>
      </c>
      <c r="L53" s="92">
        <v>96717</v>
      </c>
      <c r="M53" s="94">
        <v>408974403</v>
      </c>
      <c r="N53" s="68" t="s">
        <v>88</v>
      </c>
    </row>
    <row r="54" spans="1:14" ht="15.75" customHeight="1">
      <c r="A54" s="69"/>
      <c r="B54" s="95"/>
      <c r="C54" s="96"/>
      <c r="D54" s="95"/>
      <c r="E54" s="96"/>
      <c r="F54" s="97"/>
      <c r="G54" s="96"/>
      <c r="H54" s="97"/>
      <c r="I54" s="96"/>
      <c r="J54" s="97"/>
      <c r="K54" s="96"/>
      <c r="L54" s="97"/>
      <c r="M54" s="96"/>
      <c r="N54" s="70"/>
    </row>
    <row r="55" spans="1:14" ht="15.75" customHeight="1">
      <c r="A55" s="62" t="s">
        <v>89</v>
      </c>
      <c r="B55" s="86">
        <f>_xlfn.COMPOUNDVALUE(161)</f>
        <v>6428</v>
      </c>
      <c r="C55" s="87">
        <v>69887484</v>
      </c>
      <c r="D55" s="86">
        <f>_xlfn.COMPOUNDVALUE(162)</f>
        <v>2379</v>
      </c>
      <c r="E55" s="87">
        <v>1460361</v>
      </c>
      <c r="F55" s="86">
        <f>_xlfn.COMPOUNDVALUE(163)</f>
        <v>8807</v>
      </c>
      <c r="G55" s="87">
        <v>71347844</v>
      </c>
      <c r="H55" s="86">
        <f>_xlfn.COMPOUNDVALUE(164)</f>
        <v>502</v>
      </c>
      <c r="I55" s="88">
        <v>3294567</v>
      </c>
      <c r="J55" s="86">
        <v>667</v>
      </c>
      <c r="K55" s="88">
        <v>226341</v>
      </c>
      <c r="L55" s="86">
        <v>9383</v>
      </c>
      <c r="M55" s="88">
        <v>68279618</v>
      </c>
      <c r="N55" s="71" t="s">
        <v>89</v>
      </c>
    </row>
    <row r="56" spans="1:14" ht="15.75" customHeight="1">
      <c r="A56" s="62" t="s">
        <v>90</v>
      </c>
      <c r="B56" s="86">
        <f>_xlfn.COMPOUNDVALUE(165)</f>
        <v>939</v>
      </c>
      <c r="C56" s="87">
        <v>4607064</v>
      </c>
      <c r="D56" s="86">
        <f>_xlfn.COMPOUNDVALUE(166)</f>
        <v>408</v>
      </c>
      <c r="E56" s="87">
        <v>233004</v>
      </c>
      <c r="F56" s="86">
        <f>_xlfn.COMPOUNDVALUE(167)</f>
        <v>1347</v>
      </c>
      <c r="G56" s="87">
        <v>4840068</v>
      </c>
      <c r="H56" s="86">
        <f>_xlfn.COMPOUNDVALUE(168)</f>
        <v>39</v>
      </c>
      <c r="I56" s="88">
        <v>44255</v>
      </c>
      <c r="J56" s="86">
        <v>108</v>
      </c>
      <c r="K56" s="88">
        <v>5365</v>
      </c>
      <c r="L56" s="86">
        <v>1398</v>
      </c>
      <c r="M56" s="88">
        <v>4801178</v>
      </c>
      <c r="N56" s="63" t="s">
        <v>90</v>
      </c>
    </row>
    <row r="57" spans="1:14" ht="15.75" customHeight="1">
      <c r="A57" s="62" t="s">
        <v>91</v>
      </c>
      <c r="B57" s="86">
        <f>_xlfn.COMPOUNDVALUE(169)</f>
        <v>1732</v>
      </c>
      <c r="C57" s="87">
        <v>10819853</v>
      </c>
      <c r="D57" s="86">
        <f>_xlfn.COMPOUNDVALUE(170)</f>
        <v>635</v>
      </c>
      <c r="E57" s="87">
        <v>366803</v>
      </c>
      <c r="F57" s="86">
        <f>_xlfn.COMPOUNDVALUE(171)</f>
        <v>2367</v>
      </c>
      <c r="G57" s="87">
        <v>11186656</v>
      </c>
      <c r="H57" s="86">
        <f>_xlfn.COMPOUNDVALUE(172)</f>
        <v>117</v>
      </c>
      <c r="I57" s="88">
        <v>768060</v>
      </c>
      <c r="J57" s="86">
        <v>175</v>
      </c>
      <c r="K57" s="88">
        <v>42030</v>
      </c>
      <c r="L57" s="86">
        <v>2506</v>
      </c>
      <c r="M57" s="88">
        <v>10460626</v>
      </c>
      <c r="N57" s="63" t="s">
        <v>91</v>
      </c>
    </row>
    <row r="58" spans="1:14" ht="15.75" customHeight="1">
      <c r="A58" s="62" t="s">
        <v>92</v>
      </c>
      <c r="B58" s="86">
        <f>_xlfn.COMPOUNDVALUE(173)</f>
        <v>2858</v>
      </c>
      <c r="C58" s="87">
        <v>21472216</v>
      </c>
      <c r="D58" s="86">
        <f>_xlfn.COMPOUNDVALUE(174)</f>
        <v>1277</v>
      </c>
      <c r="E58" s="87">
        <v>738394</v>
      </c>
      <c r="F58" s="86">
        <f>_xlfn.COMPOUNDVALUE(175)</f>
        <v>4135</v>
      </c>
      <c r="G58" s="87">
        <v>22210610</v>
      </c>
      <c r="H58" s="86">
        <f>_xlfn.COMPOUNDVALUE(176)</f>
        <v>121</v>
      </c>
      <c r="I58" s="88">
        <v>3106655</v>
      </c>
      <c r="J58" s="86">
        <v>267</v>
      </c>
      <c r="K58" s="88">
        <v>18087</v>
      </c>
      <c r="L58" s="86">
        <v>4272</v>
      </c>
      <c r="M58" s="88">
        <v>19122042</v>
      </c>
      <c r="N58" s="63" t="s">
        <v>92</v>
      </c>
    </row>
    <row r="59" spans="1:14" ht="15.75" customHeight="1">
      <c r="A59" s="62" t="s">
        <v>93</v>
      </c>
      <c r="B59" s="86">
        <f>_xlfn.COMPOUNDVALUE(177)</f>
        <v>2013</v>
      </c>
      <c r="C59" s="87">
        <v>16066542</v>
      </c>
      <c r="D59" s="86">
        <f>_xlfn.COMPOUNDVALUE(178)</f>
        <v>796</v>
      </c>
      <c r="E59" s="87">
        <v>427284</v>
      </c>
      <c r="F59" s="86">
        <f>_xlfn.COMPOUNDVALUE(179)</f>
        <v>2809</v>
      </c>
      <c r="G59" s="87">
        <v>16493825</v>
      </c>
      <c r="H59" s="86">
        <f>_xlfn.COMPOUNDVALUE(180)</f>
        <v>108</v>
      </c>
      <c r="I59" s="88">
        <v>4632269</v>
      </c>
      <c r="J59" s="86">
        <v>184</v>
      </c>
      <c r="K59" s="88">
        <v>16563</v>
      </c>
      <c r="L59" s="86">
        <v>2935</v>
      </c>
      <c r="M59" s="88">
        <v>11878119</v>
      </c>
      <c r="N59" s="63" t="s">
        <v>93</v>
      </c>
    </row>
    <row r="60" spans="1:14" ht="15.75" customHeight="1">
      <c r="A60" s="62" t="s">
        <v>94</v>
      </c>
      <c r="B60" s="86">
        <f>_xlfn.COMPOUNDVALUE(181)</f>
        <v>778</v>
      </c>
      <c r="C60" s="87">
        <v>6467201</v>
      </c>
      <c r="D60" s="86">
        <f>_xlfn.COMPOUNDVALUE(182)</f>
        <v>338</v>
      </c>
      <c r="E60" s="87">
        <v>196352</v>
      </c>
      <c r="F60" s="86">
        <f>_xlfn.COMPOUNDVALUE(183)</f>
        <v>1116</v>
      </c>
      <c r="G60" s="87">
        <v>6663552</v>
      </c>
      <c r="H60" s="86">
        <f>_xlfn.COMPOUNDVALUE(184)</f>
        <v>34</v>
      </c>
      <c r="I60" s="88">
        <v>140291</v>
      </c>
      <c r="J60" s="86">
        <v>87</v>
      </c>
      <c r="K60" s="88">
        <v>8423</v>
      </c>
      <c r="L60" s="86">
        <v>1159</v>
      </c>
      <c r="M60" s="88">
        <v>6531684</v>
      </c>
      <c r="N60" s="63" t="s">
        <v>94</v>
      </c>
    </row>
    <row r="61" spans="1:14" ht="15.75" customHeight="1">
      <c r="A61" s="65" t="s">
        <v>95</v>
      </c>
      <c r="B61" s="89">
        <f>_xlfn.COMPOUNDVALUE(185)</f>
        <v>1446</v>
      </c>
      <c r="C61" s="90">
        <v>9674630</v>
      </c>
      <c r="D61" s="89">
        <f>_xlfn.COMPOUNDVALUE(186)</f>
        <v>553</v>
      </c>
      <c r="E61" s="90">
        <v>326230</v>
      </c>
      <c r="F61" s="89">
        <f>_xlfn.COMPOUNDVALUE(187)</f>
        <v>1999</v>
      </c>
      <c r="G61" s="90">
        <v>10000860</v>
      </c>
      <c r="H61" s="89">
        <f>_xlfn.COMPOUNDVALUE(188)</f>
        <v>160</v>
      </c>
      <c r="I61" s="91">
        <v>984204</v>
      </c>
      <c r="J61" s="89">
        <v>142</v>
      </c>
      <c r="K61" s="91">
        <v>28967</v>
      </c>
      <c r="L61" s="89">
        <v>2165</v>
      </c>
      <c r="M61" s="91">
        <v>9045623</v>
      </c>
      <c r="N61" s="66" t="s">
        <v>95</v>
      </c>
    </row>
    <row r="62" spans="1:14" ht="15.75" customHeight="1">
      <c r="A62" s="65" t="s">
        <v>96</v>
      </c>
      <c r="B62" s="89">
        <f>_xlfn.COMPOUNDVALUE(189)</f>
        <v>1603</v>
      </c>
      <c r="C62" s="90">
        <v>9337230</v>
      </c>
      <c r="D62" s="89">
        <f>_xlfn.COMPOUNDVALUE(190)</f>
        <v>632</v>
      </c>
      <c r="E62" s="90">
        <v>361907</v>
      </c>
      <c r="F62" s="89">
        <f>_xlfn.COMPOUNDVALUE(191)</f>
        <v>2235</v>
      </c>
      <c r="G62" s="90">
        <v>9699137</v>
      </c>
      <c r="H62" s="89">
        <f>_xlfn.COMPOUNDVALUE(192)</f>
        <v>78</v>
      </c>
      <c r="I62" s="91">
        <v>1898314</v>
      </c>
      <c r="J62" s="89">
        <v>132</v>
      </c>
      <c r="K62" s="91">
        <v>2668</v>
      </c>
      <c r="L62" s="89">
        <v>2322</v>
      </c>
      <c r="M62" s="91">
        <v>7803491</v>
      </c>
      <c r="N62" s="66" t="s">
        <v>96</v>
      </c>
    </row>
    <row r="63" spans="1:14" ht="15.75" customHeight="1">
      <c r="A63" s="65" t="s">
        <v>97</v>
      </c>
      <c r="B63" s="89">
        <f>_xlfn.COMPOUNDVALUE(193)</f>
        <v>682</v>
      </c>
      <c r="C63" s="90">
        <v>3614869</v>
      </c>
      <c r="D63" s="89">
        <f>_xlfn.COMPOUNDVALUE(194)</f>
        <v>279</v>
      </c>
      <c r="E63" s="90">
        <v>153336</v>
      </c>
      <c r="F63" s="89">
        <f>_xlfn.COMPOUNDVALUE(195)</f>
        <v>961</v>
      </c>
      <c r="G63" s="90">
        <v>3768206</v>
      </c>
      <c r="H63" s="89">
        <f>_xlfn.COMPOUNDVALUE(196)</f>
        <v>37</v>
      </c>
      <c r="I63" s="91">
        <v>72822</v>
      </c>
      <c r="J63" s="89">
        <v>86</v>
      </c>
      <c r="K63" s="91">
        <v>4956</v>
      </c>
      <c r="L63" s="89">
        <v>998</v>
      </c>
      <c r="M63" s="91">
        <v>3700340</v>
      </c>
      <c r="N63" s="66" t="s">
        <v>97</v>
      </c>
    </row>
    <row r="64" spans="1:14" ht="15.75" customHeight="1">
      <c r="A64" s="65" t="s">
        <v>98</v>
      </c>
      <c r="B64" s="89">
        <f>_xlfn.COMPOUNDVALUE(197)</f>
        <v>577</v>
      </c>
      <c r="C64" s="90">
        <v>2881029</v>
      </c>
      <c r="D64" s="89">
        <f>_xlfn.COMPOUNDVALUE(198)</f>
        <v>228</v>
      </c>
      <c r="E64" s="90">
        <v>135018</v>
      </c>
      <c r="F64" s="89">
        <f>_xlfn.COMPOUNDVALUE(199)</f>
        <v>805</v>
      </c>
      <c r="G64" s="90">
        <v>3016048</v>
      </c>
      <c r="H64" s="89">
        <f>_xlfn.COMPOUNDVALUE(200)</f>
        <v>15</v>
      </c>
      <c r="I64" s="91">
        <v>28788</v>
      </c>
      <c r="J64" s="89">
        <v>73</v>
      </c>
      <c r="K64" s="91">
        <v>4295</v>
      </c>
      <c r="L64" s="89">
        <v>823</v>
      </c>
      <c r="M64" s="91">
        <v>2991555</v>
      </c>
      <c r="N64" s="66" t="s">
        <v>98</v>
      </c>
    </row>
    <row r="65" spans="1:14" ht="15.75" customHeight="1">
      <c r="A65" s="65" t="s">
        <v>99</v>
      </c>
      <c r="B65" s="89">
        <f>_xlfn.COMPOUNDVALUE(201)</f>
        <v>376</v>
      </c>
      <c r="C65" s="90">
        <v>2429530</v>
      </c>
      <c r="D65" s="89">
        <f>_xlfn.COMPOUNDVALUE(202)</f>
        <v>146</v>
      </c>
      <c r="E65" s="90">
        <v>90713</v>
      </c>
      <c r="F65" s="89">
        <f>_xlfn.COMPOUNDVALUE(203)</f>
        <v>522</v>
      </c>
      <c r="G65" s="90">
        <v>2520243</v>
      </c>
      <c r="H65" s="89">
        <f>_xlfn.COMPOUNDVALUE(204)</f>
        <v>19</v>
      </c>
      <c r="I65" s="91">
        <v>66231</v>
      </c>
      <c r="J65" s="89">
        <v>22</v>
      </c>
      <c r="K65" s="91">
        <v>2030</v>
      </c>
      <c r="L65" s="89">
        <v>546</v>
      </c>
      <c r="M65" s="91">
        <v>2456042</v>
      </c>
      <c r="N65" s="66" t="s">
        <v>99</v>
      </c>
    </row>
    <row r="66" spans="1:14" ht="15.75" customHeight="1">
      <c r="A66" s="65" t="s">
        <v>100</v>
      </c>
      <c r="B66" s="89">
        <f>_xlfn.COMPOUNDVALUE(205)</f>
        <v>2038</v>
      </c>
      <c r="C66" s="90">
        <v>12970196</v>
      </c>
      <c r="D66" s="89">
        <f>_xlfn.COMPOUNDVALUE(206)</f>
        <v>936</v>
      </c>
      <c r="E66" s="90">
        <v>552686</v>
      </c>
      <c r="F66" s="89">
        <f>_xlfn.COMPOUNDVALUE(207)</f>
        <v>2974</v>
      </c>
      <c r="G66" s="90">
        <v>13522882</v>
      </c>
      <c r="H66" s="89">
        <f>_xlfn.COMPOUNDVALUE(208)</f>
        <v>121</v>
      </c>
      <c r="I66" s="91">
        <v>1636113</v>
      </c>
      <c r="J66" s="89">
        <v>188</v>
      </c>
      <c r="K66" s="91">
        <v>83125</v>
      </c>
      <c r="L66" s="89">
        <v>3121</v>
      </c>
      <c r="M66" s="91">
        <v>11969894</v>
      </c>
      <c r="N66" s="66" t="s">
        <v>100</v>
      </c>
    </row>
    <row r="67" spans="1:14" ht="15.75" customHeight="1">
      <c r="A67" s="65" t="s">
        <v>149</v>
      </c>
      <c r="B67" s="89">
        <f>_xlfn.COMPOUNDVALUE(209)</f>
        <v>526</v>
      </c>
      <c r="C67" s="90">
        <v>2114628</v>
      </c>
      <c r="D67" s="89">
        <f>_xlfn.COMPOUNDVALUE(210)</f>
        <v>184</v>
      </c>
      <c r="E67" s="90">
        <v>95388</v>
      </c>
      <c r="F67" s="89">
        <f>_xlfn.COMPOUNDVALUE(211)</f>
        <v>710</v>
      </c>
      <c r="G67" s="90">
        <v>2210016</v>
      </c>
      <c r="H67" s="89">
        <f>_xlfn.COMPOUNDVALUE(212)</f>
        <v>38</v>
      </c>
      <c r="I67" s="91">
        <v>56993</v>
      </c>
      <c r="J67" s="89">
        <v>53</v>
      </c>
      <c r="K67" s="91">
        <v>9200</v>
      </c>
      <c r="L67" s="89">
        <v>756</v>
      </c>
      <c r="M67" s="91">
        <v>2162223</v>
      </c>
      <c r="N67" s="66" t="s">
        <v>102</v>
      </c>
    </row>
    <row r="68" spans="1:14" ht="15.75" customHeight="1">
      <c r="A68" s="67" t="s">
        <v>150</v>
      </c>
      <c r="B68" s="92">
        <v>21996</v>
      </c>
      <c r="C68" s="93">
        <v>172342471</v>
      </c>
      <c r="D68" s="92">
        <v>8791</v>
      </c>
      <c r="E68" s="93">
        <v>5137475</v>
      </c>
      <c r="F68" s="92">
        <v>30787</v>
      </c>
      <c r="G68" s="93">
        <v>177479947</v>
      </c>
      <c r="H68" s="92">
        <v>1389</v>
      </c>
      <c r="I68" s="94">
        <v>16729561</v>
      </c>
      <c r="J68" s="92">
        <v>2184</v>
      </c>
      <c r="K68" s="94">
        <v>452050</v>
      </c>
      <c r="L68" s="92">
        <v>32384</v>
      </c>
      <c r="M68" s="94">
        <v>161202436</v>
      </c>
      <c r="N68" s="68" t="s">
        <v>104</v>
      </c>
    </row>
    <row r="69" spans="1:14" ht="15.75" customHeight="1">
      <c r="A69" s="69"/>
      <c r="B69" s="95"/>
      <c r="C69" s="96"/>
      <c r="D69" s="95"/>
      <c r="E69" s="96"/>
      <c r="F69" s="97"/>
      <c r="G69" s="96"/>
      <c r="H69" s="97"/>
      <c r="I69" s="96"/>
      <c r="J69" s="97"/>
      <c r="K69" s="96"/>
      <c r="L69" s="97"/>
      <c r="M69" s="96"/>
      <c r="N69" s="70"/>
    </row>
    <row r="70" spans="1:14" ht="15.75" customHeight="1">
      <c r="A70" s="62" t="s">
        <v>105</v>
      </c>
      <c r="B70" s="86">
        <f>_xlfn.COMPOUNDVALUE(213)</f>
        <v>4819</v>
      </c>
      <c r="C70" s="87">
        <v>43216292</v>
      </c>
      <c r="D70" s="86">
        <f>_xlfn.COMPOUNDVALUE(214)</f>
        <v>1993</v>
      </c>
      <c r="E70" s="87">
        <v>1167244</v>
      </c>
      <c r="F70" s="86">
        <f>_xlfn.COMPOUNDVALUE(215)</f>
        <v>6812</v>
      </c>
      <c r="G70" s="87">
        <v>44383535</v>
      </c>
      <c r="H70" s="86">
        <f>_xlfn.COMPOUNDVALUE(216)</f>
        <v>225</v>
      </c>
      <c r="I70" s="88">
        <v>9538390</v>
      </c>
      <c r="J70" s="86">
        <v>477</v>
      </c>
      <c r="K70" s="88">
        <v>52574</v>
      </c>
      <c r="L70" s="86">
        <v>7072</v>
      </c>
      <c r="M70" s="88">
        <v>34897719</v>
      </c>
      <c r="N70" s="71" t="s">
        <v>105</v>
      </c>
    </row>
    <row r="71" spans="1:14" ht="15.75" customHeight="1">
      <c r="A71" s="62" t="s">
        <v>106</v>
      </c>
      <c r="B71" s="86">
        <f>_xlfn.COMPOUNDVALUE(217)</f>
        <v>3965</v>
      </c>
      <c r="C71" s="87">
        <v>29461613</v>
      </c>
      <c r="D71" s="86">
        <f>_xlfn.COMPOUNDVALUE(218)</f>
        <v>1682</v>
      </c>
      <c r="E71" s="87">
        <v>973373</v>
      </c>
      <c r="F71" s="86">
        <f>_xlfn.COMPOUNDVALUE(219)</f>
        <v>5647</v>
      </c>
      <c r="G71" s="87">
        <v>30434986</v>
      </c>
      <c r="H71" s="86">
        <f>_xlfn.COMPOUNDVALUE(220)</f>
        <v>253</v>
      </c>
      <c r="I71" s="88">
        <v>776528</v>
      </c>
      <c r="J71" s="86">
        <v>392</v>
      </c>
      <c r="K71" s="88">
        <v>81838</v>
      </c>
      <c r="L71" s="86">
        <v>5942</v>
      </c>
      <c r="M71" s="88">
        <v>29740296</v>
      </c>
      <c r="N71" s="63" t="s">
        <v>106</v>
      </c>
    </row>
    <row r="72" spans="1:14" ht="15.75" customHeight="1">
      <c r="A72" s="62" t="s">
        <v>107</v>
      </c>
      <c r="B72" s="86">
        <f>_xlfn.COMPOUNDVALUE(221)</f>
        <v>2529</v>
      </c>
      <c r="C72" s="87">
        <v>19270240</v>
      </c>
      <c r="D72" s="86">
        <f>_xlfn.COMPOUNDVALUE(222)</f>
        <v>1175</v>
      </c>
      <c r="E72" s="87">
        <v>689802</v>
      </c>
      <c r="F72" s="86">
        <f>_xlfn.COMPOUNDVALUE(223)</f>
        <v>3704</v>
      </c>
      <c r="G72" s="87">
        <v>19960042</v>
      </c>
      <c r="H72" s="86">
        <f>_xlfn.COMPOUNDVALUE(224)</f>
        <v>171</v>
      </c>
      <c r="I72" s="88">
        <v>9042268</v>
      </c>
      <c r="J72" s="86">
        <v>241</v>
      </c>
      <c r="K72" s="88">
        <v>18687</v>
      </c>
      <c r="L72" s="86">
        <v>3889</v>
      </c>
      <c r="M72" s="88">
        <v>10936461</v>
      </c>
      <c r="N72" s="63" t="s">
        <v>107</v>
      </c>
    </row>
    <row r="73" spans="1:14" ht="15.75" customHeight="1">
      <c r="A73" s="65" t="s">
        <v>108</v>
      </c>
      <c r="B73" s="89">
        <f>_xlfn.COMPOUNDVALUE(225)</f>
        <v>1695</v>
      </c>
      <c r="C73" s="90">
        <v>10087458</v>
      </c>
      <c r="D73" s="89">
        <f>_xlfn.COMPOUNDVALUE(226)</f>
        <v>729</v>
      </c>
      <c r="E73" s="90">
        <v>428291</v>
      </c>
      <c r="F73" s="89">
        <f>_xlfn.COMPOUNDVALUE(227)</f>
        <v>2424</v>
      </c>
      <c r="G73" s="90">
        <v>10515749</v>
      </c>
      <c r="H73" s="89">
        <f>_xlfn.COMPOUNDVALUE(228)</f>
        <v>87</v>
      </c>
      <c r="I73" s="91">
        <v>781588</v>
      </c>
      <c r="J73" s="89">
        <v>235</v>
      </c>
      <c r="K73" s="91">
        <v>3712</v>
      </c>
      <c r="L73" s="89">
        <v>2531</v>
      </c>
      <c r="M73" s="91">
        <v>9737873</v>
      </c>
      <c r="N73" s="66" t="s">
        <v>108</v>
      </c>
    </row>
    <row r="74" spans="1:14" ht="15.75" customHeight="1">
      <c r="A74" s="65" t="s">
        <v>109</v>
      </c>
      <c r="B74" s="89">
        <f>_xlfn.COMPOUNDVALUE(229)</f>
        <v>2346</v>
      </c>
      <c r="C74" s="90">
        <v>16214788</v>
      </c>
      <c r="D74" s="89">
        <f>_xlfn.COMPOUNDVALUE(230)</f>
        <v>1080</v>
      </c>
      <c r="E74" s="90">
        <v>609048</v>
      </c>
      <c r="F74" s="89">
        <f>_xlfn.COMPOUNDVALUE(231)</f>
        <v>3426</v>
      </c>
      <c r="G74" s="90">
        <v>16823836</v>
      </c>
      <c r="H74" s="89">
        <f>_xlfn.COMPOUNDVALUE(232)</f>
        <v>185</v>
      </c>
      <c r="I74" s="91">
        <v>5462474</v>
      </c>
      <c r="J74" s="89">
        <v>247</v>
      </c>
      <c r="K74" s="91">
        <v>10457</v>
      </c>
      <c r="L74" s="89">
        <v>3630</v>
      </c>
      <c r="M74" s="91">
        <v>11371819</v>
      </c>
      <c r="N74" s="66" t="s">
        <v>109</v>
      </c>
    </row>
    <row r="75" spans="1:14" ht="15.75" customHeight="1">
      <c r="A75" s="65" t="s">
        <v>110</v>
      </c>
      <c r="B75" s="89">
        <f>_xlfn.COMPOUNDVALUE(233)</f>
        <v>1722</v>
      </c>
      <c r="C75" s="90">
        <v>12541829</v>
      </c>
      <c r="D75" s="89">
        <f>_xlfn.COMPOUNDVALUE(234)</f>
        <v>798</v>
      </c>
      <c r="E75" s="90">
        <v>462053</v>
      </c>
      <c r="F75" s="89">
        <f>_xlfn.COMPOUNDVALUE(235)</f>
        <v>2520</v>
      </c>
      <c r="G75" s="90">
        <v>13003882</v>
      </c>
      <c r="H75" s="89">
        <f>_xlfn.COMPOUNDVALUE(236)</f>
        <v>167</v>
      </c>
      <c r="I75" s="91">
        <v>2545240</v>
      </c>
      <c r="J75" s="89">
        <v>124</v>
      </c>
      <c r="K75" s="91">
        <v>-10436</v>
      </c>
      <c r="L75" s="89">
        <v>2707</v>
      </c>
      <c r="M75" s="91">
        <v>10448206</v>
      </c>
      <c r="N75" s="66" t="s">
        <v>110</v>
      </c>
    </row>
    <row r="76" spans="1:14" ht="15.75" customHeight="1">
      <c r="A76" s="65" t="s">
        <v>111</v>
      </c>
      <c r="B76" s="89">
        <f>_xlfn.COMPOUNDVALUE(237)</f>
        <v>1070</v>
      </c>
      <c r="C76" s="90">
        <v>4364543</v>
      </c>
      <c r="D76" s="89">
        <f>_xlfn.COMPOUNDVALUE(238)</f>
        <v>463</v>
      </c>
      <c r="E76" s="90">
        <v>241923</v>
      </c>
      <c r="F76" s="89">
        <f>_xlfn.COMPOUNDVALUE(239)</f>
        <v>1533</v>
      </c>
      <c r="G76" s="90">
        <v>4606466</v>
      </c>
      <c r="H76" s="89">
        <f>_xlfn.COMPOUNDVALUE(240)</f>
        <v>69</v>
      </c>
      <c r="I76" s="91">
        <v>416863</v>
      </c>
      <c r="J76" s="89">
        <v>92</v>
      </c>
      <c r="K76" s="91">
        <v>11455</v>
      </c>
      <c r="L76" s="89">
        <v>1610</v>
      </c>
      <c r="M76" s="91">
        <v>4201058</v>
      </c>
      <c r="N76" s="66" t="s">
        <v>111</v>
      </c>
    </row>
    <row r="77" spans="1:14" ht="15.75" customHeight="1">
      <c r="A77" s="65" t="s">
        <v>112</v>
      </c>
      <c r="B77" s="89">
        <f>_xlfn.COMPOUNDVALUE(241)</f>
        <v>669</v>
      </c>
      <c r="C77" s="90">
        <v>2967600</v>
      </c>
      <c r="D77" s="89">
        <f>_xlfn.COMPOUNDVALUE(242)</f>
        <v>289</v>
      </c>
      <c r="E77" s="90">
        <v>151814</v>
      </c>
      <c r="F77" s="89">
        <f>_xlfn.COMPOUNDVALUE(243)</f>
        <v>958</v>
      </c>
      <c r="G77" s="90">
        <v>3119413</v>
      </c>
      <c r="H77" s="89">
        <f>_xlfn.COMPOUNDVALUE(244)</f>
        <v>54</v>
      </c>
      <c r="I77" s="91">
        <v>99879</v>
      </c>
      <c r="J77" s="89">
        <v>61</v>
      </c>
      <c r="K77" s="91">
        <v>-520</v>
      </c>
      <c r="L77" s="89">
        <v>1018</v>
      </c>
      <c r="M77" s="91">
        <v>3019014</v>
      </c>
      <c r="N77" s="66" t="s">
        <v>112</v>
      </c>
    </row>
    <row r="78" spans="1:14" ht="15.75" customHeight="1">
      <c r="A78" s="65" t="s">
        <v>113</v>
      </c>
      <c r="B78" s="89">
        <f>_xlfn.COMPOUNDVALUE(245)</f>
        <v>2050</v>
      </c>
      <c r="C78" s="90">
        <v>11847219</v>
      </c>
      <c r="D78" s="89">
        <f>_xlfn.COMPOUNDVALUE(246)</f>
        <v>834</v>
      </c>
      <c r="E78" s="90">
        <v>512325</v>
      </c>
      <c r="F78" s="89">
        <f>_xlfn.COMPOUNDVALUE(247)</f>
        <v>2884</v>
      </c>
      <c r="G78" s="90">
        <v>12359543</v>
      </c>
      <c r="H78" s="89">
        <f>_xlfn.COMPOUNDVALUE(248)</f>
        <v>152</v>
      </c>
      <c r="I78" s="91">
        <v>5890373</v>
      </c>
      <c r="J78" s="89">
        <v>155</v>
      </c>
      <c r="K78" s="91">
        <v>7327</v>
      </c>
      <c r="L78" s="89">
        <v>3046</v>
      </c>
      <c r="M78" s="91">
        <v>6476497</v>
      </c>
      <c r="N78" s="66" t="s">
        <v>113</v>
      </c>
    </row>
    <row r="79" spans="1:14" ht="15.75" customHeight="1">
      <c r="A79" s="65" t="s">
        <v>114</v>
      </c>
      <c r="B79" s="89">
        <f>_xlfn.COMPOUNDVALUE(249)</f>
        <v>298</v>
      </c>
      <c r="C79" s="90">
        <v>1488692</v>
      </c>
      <c r="D79" s="89">
        <f>_xlfn.COMPOUNDVALUE(250)</f>
        <v>144</v>
      </c>
      <c r="E79" s="90">
        <v>82756</v>
      </c>
      <c r="F79" s="89">
        <f>_xlfn.COMPOUNDVALUE(251)</f>
        <v>442</v>
      </c>
      <c r="G79" s="90">
        <v>1571448</v>
      </c>
      <c r="H79" s="89">
        <f>_xlfn.COMPOUNDVALUE(252)</f>
        <v>11</v>
      </c>
      <c r="I79" s="91">
        <v>8876</v>
      </c>
      <c r="J79" s="89">
        <v>33</v>
      </c>
      <c r="K79" s="91">
        <v>797</v>
      </c>
      <c r="L79" s="89">
        <v>456</v>
      </c>
      <c r="M79" s="91">
        <v>1563369</v>
      </c>
      <c r="N79" s="66" t="s">
        <v>114</v>
      </c>
    </row>
    <row r="80" spans="1:14" ht="15.75" customHeight="1">
      <c r="A80" s="67" t="s">
        <v>151</v>
      </c>
      <c r="B80" s="92">
        <v>21163</v>
      </c>
      <c r="C80" s="93">
        <v>151460271</v>
      </c>
      <c r="D80" s="92">
        <v>9187</v>
      </c>
      <c r="E80" s="93">
        <v>5318628</v>
      </c>
      <c r="F80" s="92">
        <v>30350</v>
      </c>
      <c r="G80" s="93">
        <v>156778899</v>
      </c>
      <c r="H80" s="92">
        <v>1374</v>
      </c>
      <c r="I80" s="94">
        <v>34562479</v>
      </c>
      <c r="J80" s="92">
        <v>2057</v>
      </c>
      <c r="K80" s="94">
        <v>175893</v>
      </c>
      <c r="L80" s="92">
        <v>31901</v>
      </c>
      <c r="M80" s="94">
        <v>122392313</v>
      </c>
      <c r="N80" s="68" t="s">
        <v>116</v>
      </c>
    </row>
    <row r="81" spans="1:14" ht="15.75" customHeight="1" thickBot="1">
      <c r="A81" s="72"/>
      <c r="B81" s="98"/>
      <c r="C81" s="99"/>
      <c r="D81" s="98"/>
      <c r="E81" s="99"/>
      <c r="F81" s="100"/>
      <c r="G81" s="99"/>
      <c r="H81" s="100"/>
      <c r="I81" s="99"/>
      <c r="J81" s="100"/>
      <c r="K81" s="99"/>
      <c r="L81" s="100"/>
      <c r="M81" s="99"/>
      <c r="N81" s="73"/>
    </row>
    <row r="82" spans="1:14" ht="15.75" customHeight="1" thickBot="1" thickTop="1">
      <c r="A82" s="75" t="s">
        <v>152</v>
      </c>
      <c r="B82" s="101">
        <v>168574</v>
      </c>
      <c r="C82" s="102">
        <v>1200129390</v>
      </c>
      <c r="D82" s="101">
        <v>74677</v>
      </c>
      <c r="E82" s="102">
        <v>44752250</v>
      </c>
      <c r="F82" s="101">
        <v>243251</v>
      </c>
      <c r="G82" s="102">
        <v>1244881641</v>
      </c>
      <c r="H82" s="101">
        <v>13136</v>
      </c>
      <c r="I82" s="103">
        <v>130814358</v>
      </c>
      <c r="J82" s="101">
        <v>15789</v>
      </c>
      <c r="K82" s="103">
        <v>3201164</v>
      </c>
      <c r="L82" s="101">
        <v>258131</v>
      </c>
      <c r="M82" s="103">
        <v>1117268446</v>
      </c>
      <c r="N82" s="76" t="s">
        <v>118</v>
      </c>
    </row>
    <row r="83" spans="1:14" ht="15" customHeight="1">
      <c r="A83" s="229" t="s">
        <v>154</v>
      </c>
      <c r="B83" s="229"/>
      <c r="C83" s="229"/>
      <c r="D83" s="229"/>
      <c r="E83" s="229"/>
      <c r="F83" s="229"/>
      <c r="G83" s="229"/>
      <c r="H83" s="229"/>
      <c r="I83" s="229"/>
      <c r="J83" s="77"/>
      <c r="K83" s="77"/>
      <c r="L83" s="48"/>
      <c r="M83" s="48"/>
      <c r="N83" s="48"/>
    </row>
  </sheetData>
  <sheetProtection/>
  <mergeCells count="11">
    <mergeCell ref="A83:I83"/>
    <mergeCell ref="L3:M4"/>
    <mergeCell ref="A2:I2"/>
    <mergeCell ref="A3:A5"/>
    <mergeCell ref="B3:G3"/>
    <mergeCell ref="H3:I4"/>
    <mergeCell ref="J3:K4"/>
    <mergeCell ref="N3:N5"/>
    <mergeCell ref="B4:C4"/>
    <mergeCell ref="D4:E4"/>
    <mergeCell ref="F4:G4"/>
  </mergeCell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52" r:id="rId1"/>
  <headerFooter alignWithMargins="0">
    <oddFooter>&amp;R&amp;K01+000関東信越国税局
消費税
(H30)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83"/>
  <sheetViews>
    <sheetView zoomScaleSheetLayoutView="85" workbookViewId="0" topLeftCell="A1">
      <selection activeCell="A1" sqref="A1"/>
    </sheetView>
  </sheetViews>
  <sheetFormatPr defaultColWidth="9.00390625" defaultRowHeight="13.5"/>
  <cols>
    <col min="1" max="1" width="10.375" style="49" customWidth="1"/>
    <col min="2" max="2" width="8.625" style="49" customWidth="1"/>
    <col min="3" max="3" width="10.625" style="49" customWidth="1"/>
    <col min="4" max="4" width="8.625" style="49" customWidth="1"/>
    <col min="5" max="5" width="10.625" style="49" customWidth="1"/>
    <col min="6" max="6" width="8.625" style="49" customWidth="1"/>
    <col min="7" max="7" width="13.125" style="49" customWidth="1"/>
    <col min="8" max="8" width="8.625" style="49" customWidth="1"/>
    <col min="9" max="9" width="10.625" style="49" customWidth="1"/>
    <col min="10" max="10" width="8.625" style="49" customWidth="1"/>
    <col min="11" max="11" width="10.625" style="49" customWidth="1"/>
    <col min="12" max="12" width="8.625" style="49" customWidth="1"/>
    <col min="13" max="13" width="12.00390625" style="49" customWidth="1"/>
    <col min="14" max="17" width="9.50390625" style="49" customWidth="1"/>
    <col min="18" max="18" width="10.375" style="49" customWidth="1"/>
    <col min="19" max="16384" width="9.00390625" style="49" customWidth="1"/>
  </cols>
  <sheetData>
    <row r="1" spans="1:16" ht="16.5" customHeight="1">
      <c r="A1" s="47" t="s">
        <v>158</v>
      </c>
      <c r="B1" s="47"/>
      <c r="C1" s="47"/>
      <c r="D1" s="47"/>
      <c r="E1" s="47"/>
      <c r="F1" s="47"/>
      <c r="G1" s="47"/>
      <c r="H1" s="47"/>
      <c r="I1" s="47"/>
      <c r="J1" s="47"/>
      <c r="K1" s="47"/>
      <c r="L1" s="48"/>
      <c r="M1" s="48"/>
      <c r="N1" s="48"/>
      <c r="O1" s="48"/>
      <c r="P1" s="48"/>
    </row>
    <row r="2" spans="1:16" ht="14.25" thickBot="1">
      <c r="A2" s="230" t="s">
        <v>121</v>
      </c>
      <c r="B2" s="230"/>
      <c r="C2" s="230"/>
      <c r="D2" s="230"/>
      <c r="E2" s="230"/>
      <c r="F2" s="230"/>
      <c r="G2" s="230"/>
      <c r="H2" s="230"/>
      <c r="I2" s="230"/>
      <c r="J2" s="77"/>
      <c r="K2" s="77"/>
      <c r="L2" s="48"/>
      <c r="M2" s="48"/>
      <c r="N2" s="48"/>
      <c r="O2" s="48"/>
      <c r="P2" s="48"/>
    </row>
    <row r="3" spans="1:18" ht="19.5" customHeight="1">
      <c r="A3" s="215" t="s">
        <v>27</v>
      </c>
      <c r="B3" s="218" t="s">
        <v>28</v>
      </c>
      <c r="C3" s="218"/>
      <c r="D3" s="218"/>
      <c r="E3" s="218"/>
      <c r="F3" s="218"/>
      <c r="G3" s="218"/>
      <c r="H3" s="218" t="s">
        <v>13</v>
      </c>
      <c r="I3" s="218"/>
      <c r="J3" s="240" t="s">
        <v>29</v>
      </c>
      <c r="K3" s="218"/>
      <c r="L3" s="218" t="s">
        <v>30</v>
      </c>
      <c r="M3" s="218"/>
      <c r="N3" s="231" t="s">
        <v>122</v>
      </c>
      <c r="O3" s="232"/>
      <c r="P3" s="232"/>
      <c r="Q3" s="232"/>
      <c r="R3" s="224" t="s">
        <v>120</v>
      </c>
    </row>
    <row r="4" spans="1:18" ht="17.25" customHeight="1">
      <c r="A4" s="216"/>
      <c r="B4" s="227" t="s">
        <v>16</v>
      </c>
      <c r="C4" s="227"/>
      <c r="D4" s="227" t="s">
        <v>32</v>
      </c>
      <c r="E4" s="227"/>
      <c r="F4" s="227" t="s">
        <v>33</v>
      </c>
      <c r="G4" s="227"/>
      <c r="H4" s="227"/>
      <c r="I4" s="227"/>
      <c r="J4" s="227"/>
      <c r="K4" s="227"/>
      <c r="L4" s="227"/>
      <c r="M4" s="227"/>
      <c r="N4" s="233" t="s">
        <v>123</v>
      </c>
      <c r="O4" s="235" t="s">
        <v>124</v>
      </c>
      <c r="P4" s="237" t="s">
        <v>125</v>
      </c>
      <c r="Q4" s="222" t="s">
        <v>126</v>
      </c>
      <c r="R4" s="225"/>
    </row>
    <row r="5" spans="1:18" ht="28.5" customHeight="1">
      <c r="A5" s="217"/>
      <c r="B5" s="50" t="s">
        <v>127</v>
      </c>
      <c r="C5" s="52" t="s">
        <v>128</v>
      </c>
      <c r="D5" s="50" t="s">
        <v>127</v>
      </c>
      <c r="E5" s="52" t="s">
        <v>128</v>
      </c>
      <c r="F5" s="50" t="s">
        <v>127</v>
      </c>
      <c r="G5" s="52" t="s">
        <v>36</v>
      </c>
      <c r="H5" s="50" t="s">
        <v>127</v>
      </c>
      <c r="I5" s="52" t="s">
        <v>37</v>
      </c>
      <c r="J5" s="50" t="s">
        <v>127</v>
      </c>
      <c r="K5" s="52" t="s">
        <v>38</v>
      </c>
      <c r="L5" s="50" t="s">
        <v>127</v>
      </c>
      <c r="M5" s="80" t="s">
        <v>129</v>
      </c>
      <c r="N5" s="234"/>
      <c r="O5" s="236"/>
      <c r="P5" s="238"/>
      <c r="Q5" s="239"/>
      <c r="R5" s="226"/>
    </row>
    <row r="6" spans="1:18" s="79" customFormat="1" ht="10.5">
      <c r="A6" s="56"/>
      <c r="B6" s="57" t="s">
        <v>4</v>
      </c>
      <c r="C6" s="58" t="s">
        <v>5</v>
      </c>
      <c r="D6" s="57" t="s">
        <v>4</v>
      </c>
      <c r="E6" s="58" t="s">
        <v>5</v>
      </c>
      <c r="F6" s="57" t="s">
        <v>4</v>
      </c>
      <c r="G6" s="58" t="s">
        <v>5</v>
      </c>
      <c r="H6" s="57" t="s">
        <v>4</v>
      </c>
      <c r="I6" s="58" t="s">
        <v>5</v>
      </c>
      <c r="J6" s="57" t="s">
        <v>4</v>
      </c>
      <c r="K6" s="58" t="s">
        <v>5</v>
      </c>
      <c r="L6" s="57" t="s">
        <v>156</v>
      </c>
      <c r="M6" s="58" t="s">
        <v>5</v>
      </c>
      <c r="N6" s="57" t="s">
        <v>4</v>
      </c>
      <c r="O6" s="81" t="s">
        <v>4</v>
      </c>
      <c r="P6" s="81" t="s">
        <v>4</v>
      </c>
      <c r="Q6" s="82" t="s">
        <v>4</v>
      </c>
      <c r="R6" s="60"/>
    </row>
    <row r="7" spans="1:18" ht="15.75" customHeight="1">
      <c r="A7" s="62" t="s">
        <v>40</v>
      </c>
      <c r="B7" s="86">
        <f>_xlfn.COMPOUNDVALUE(253)</f>
        <v>6525</v>
      </c>
      <c r="C7" s="87">
        <v>41963654</v>
      </c>
      <c r="D7" s="86">
        <f>_xlfn.COMPOUNDVALUE(254)</f>
        <v>4330</v>
      </c>
      <c r="E7" s="87">
        <v>2312725</v>
      </c>
      <c r="F7" s="86">
        <f>_xlfn.COMPOUNDVALUE(255)</f>
        <v>10855</v>
      </c>
      <c r="G7" s="87">
        <v>44276379</v>
      </c>
      <c r="H7" s="86">
        <f>_xlfn.COMPOUNDVALUE(256)</f>
        <v>443</v>
      </c>
      <c r="I7" s="88">
        <v>1865489</v>
      </c>
      <c r="J7" s="86">
        <v>775</v>
      </c>
      <c r="K7" s="88">
        <v>199052</v>
      </c>
      <c r="L7" s="86">
        <v>11573</v>
      </c>
      <c r="M7" s="88">
        <v>42609942</v>
      </c>
      <c r="N7" s="86">
        <v>11848</v>
      </c>
      <c r="O7" s="104">
        <v>366</v>
      </c>
      <c r="P7" s="104">
        <v>25</v>
      </c>
      <c r="Q7" s="105">
        <v>12239</v>
      </c>
      <c r="R7" s="63" t="s">
        <v>40</v>
      </c>
    </row>
    <row r="8" spans="1:18" ht="15.75" customHeight="1">
      <c r="A8" s="65" t="s">
        <v>41</v>
      </c>
      <c r="B8" s="89">
        <f>_xlfn.COMPOUNDVALUE(257)</f>
        <v>2513</v>
      </c>
      <c r="C8" s="90">
        <v>19082826</v>
      </c>
      <c r="D8" s="89">
        <f>_xlfn.COMPOUNDVALUE(258)</f>
        <v>1788</v>
      </c>
      <c r="E8" s="90">
        <v>897856</v>
      </c>
      <c r="F8" s="89">
        <f>_xlfn.COMPOUNDVALUE(259)</f>
        <v>4301</v>
      </c>
      <c r="G8" s="90">
        <v>19980681</v>
      </c>
      <c r="H8" s="89">
        <f>_xlfn.COMPOUNDVALUE(260)</f>
        <v>136</v>
      </c>
      <c r="I8" s="91">
        <v>2541198</v>
      </c>
      <c r="J8" s="89">
        <v>497</v>
      </c>
      <c r="K8" s="91">
        <v>116300</v>
      </c>
      <c r="L8" s="89">
        <v>4528</v>
      </c>
      <c r="M8" s="91">
        <v>17555783</v>
      </c>
      <c r="N8" s="86">
        <v>4660</v>
      </c>
      <c r="O8" s="104">
        <v>80</v>
      </c>
      <c r="P8" s="104">
        <v>10</v>
      </c>
      <c r="Q8" s="105">
        <v>4750</v>
      </c>
      <c r="R8" s="66" t="s">
        <v>41</v>
      </c>
    </row>
    <row r="9" spans="1:18" ht="15.75" customHeight="1">
      <c r="A9" s="65" t="s">
        <v>42</v>
      </c>
      <c r="B9" s="89">
        <f>_xlfn.COMPOUNDVALUE(261)</f>
        <v>6386</v>
      </c>
      <c r="C9" s="90">
        <v>36122501</v>
      </c>
      <c r="D9" s="89">
        <f>_xlfn.COMPOUNDVALUE(262)</f>
        <v>4278</v>
      </c>
      <c r="E9" s="90">
        <v>2206383</v>
      </c>
      <c r="F9" s="89">
        <f>_xlfn.COMPOUNDVALUE(263)</f>
        <v>10664</v>
      </c>
      <c r="G9" s="90">
        <v>38328884</v>
      </c>
      <c r="H9" s="89">
        <f>_xlfn.COMPOUNDVALUE(264)</f>
        <v>570</v>
      </c>
      <c r="I9" s="91">
        <v>1437147</v>
      </c>
      <c r="J9" s="89">
        <v>790</v>
      </c>
      <c r="K9" s="91">
        <v>178830</v>
      </c>
      <c r="L9" s="89">
        <v>11503</v>
      </c>
      <c r="M9" s="91">
        <v>37070567</v>
      </c>
      <c r="N9" s="86">
        <v>11325</v>
      </c>
      <c r="O9" s="104">
        <v>479</v>
      </c>
      <c r="P9" s="104">
        <v>42</v>
      </c>
      <c r="Q9" s="105">
        <v>11846</v>
      </c>
      <c r="R9" s="66" t="s">
        <v>42</v>
      </c>
    </row>
    <row r="10" spans="1:18" ht="15.75" customHeight="1">
      <c r="A10" s="65" t="s">
        <v>43</v>
      </c>
      <c r="B10" s="89">
        <f>_xlfn.COMPOUNDVALUE(265)</f>
        <v>3384</v>
      </c>
      <c r="C10" s="90">
        <v>14068824</v>
      </c>
      <c r="D10" s="89">
        <f>_xlfn.COMPOUNDVALUE(266)</f>
        <v>3081</v>
      </c>
      <c r="E10" s="90">
        <v>1378728</v>
      </c>
      <c r="F10" s="89">
        <f>_xlfn.COMPOUNDVALUE(267)</f>
        <v>6465</v>
      </c>
      <c r="G10" s="90">
        <v>15447553</v>
      </c>
      <c r="H10" s="89">
        <f>_xlfn.COMPOUNDVALUE(268)</f>
        <v>327</v>
      </c>
      <c r="I10" s="91">
        <v>1003203</v>
      </c>
      <c r="J10" s="89">
        <v>460</v>
      </c>
      <c r="K10" s="91">
        <v>136219</v>
      </c>
      <c r="L10" s="89">
        <v>6941</v>
      </c>
      <c r="M10" s="91">
        <v>14580569</v>
      </c>
      <c r="N10" s="86">
        <v>6476</v>
      </c>
      <c r="O10" s="104">
        <v>250</v>
      </c>
      <c r="P10" s="104">
        <v>13</v>
      </c>
      <c r="Q10" s="105">
        <v>6739</v>
      </c>
      <c r="R10" s="66" t="s">
        <v>43</v>
      </c>
    </row>
    <row r="11" spans="1:18" ht="15.75" customHeight="1">
      <c r="A11" s="65" t="s">
        <v>44</v>
      </c>
      <c r="B11" s="89">
        <f>_xlfn.COMPOUNDVALUE(269)</f>
        <v>4865</v>
      </c>
      <c r="C11" s="90">
        <v>20108773</v>
      </c>
      <c r="D11" s="89">
        <f>_xlfn.COMPOUNDVALUE(270)</f>
        <v>3869</v>
      </c>
      <c r="E11" s="90">
        <v>1804078</v>
      </c>
      <c r="F11" s="89">
        <f>_xlfn.COMPOUNDVALUE(271)</f>
        <v>8734</v>
      </c>
      <c r="G11" s="90">
        <v>21912851</v>
      </c>
      <c r="H11" s="89">
        <f>_xlfn.COMPOUNDVALUE(272)</f>
        <v>366</v>
      </c>
      <c r="I11" s="91">
        <v>1352149</v>
      </c>
      <c r="J11" s="89">
        <v>605</v>
      </c>
      <c r="K11" s="91">
        <v>160415</v>
      </c>
      <c r="L11" s="89">
        <v>9295</v>
      </c>
      <c r="M11" s="91">
        <v>20721117</v>
      </c>
      <c r="N11" s="86">
        <v>9264</v>
      </c>
      <c r="O11" s="104">
        <v>350</v>
      </c>
      <c r="P11" s="104">
        <v>10</v>
      </c>
      <c r="Q11" s="105">
        <v>9624</v>
      </c>
      <c r="R11" s="66" t="s">
        <v>44</v>
      </c>
    </row>
    <row r="12" spans="1:18" ht="15.75" customHeight="1">
      <c r="A12" s="65" t="s">
        <v>45</v>
      </c>
      <c r="B12" s="89">
        <f>_xlfn.COMPOUNDVALUE(273)</f>
        <v>4219</v>
      </c>
      <c r="C12" s="90">
        <v>13565631</v>
      </c>
      <c r="D12" s="89">
        <f>_xlfn.COMPOUNDVALUE(274)</f>
        <v>3197</v>
      </c>
      <c r="E12" s="90">
        <v>1644327</v>
      </c>
      <c r="F12" s="89">
        <f>_xlfn.COMPOUNDVALUE(275)</f>
        <v>7416</v>
      </c>
      <c r="G12" s="90">
        <v>15209958</v>
      </c>
      <c r="H12" s="89">
        <f>_xlfn.COMPOUNDVALUE(276)</f>
        <v>398</v>
      </c>
      <c r="I12" s="91">
        <v>1744311</v>
      </c>
      <c r="J12" s="89">
        <v>669</v>
      </c>
      <c r="K12" s="91">
        <v>173067</v>
      </c>
      <c r="L12" s="89">
        <v>8104</v>
      </c>
      <c r="M12" s="91">
        <v>13638714</v>
      </c>
      <c r="N12" s="86">
        <v>8126</v>
      </c>
      <c r="O12" s="104">
        <v>296</v>
      </c>
      <c r="P12" s="104">
        <v>25</v>
      </c>
      <c r="Q12" s="105">
        <v>8447</v>
      </c>
      <c r="R12" s="66" t="s">
        <v>46</v>
      </c>
    </row>
    <row r="13" spans="1:18" ht="15.75" customHeight="1">
      <c r="A13" s="65" t="s">
        <v>47</v>
      </c>
      <c r="B13" s="89">
        <f>_xlfn.COMPOUNDVALUE(277)</f>
        <v>3605</v>
      </c>
      <c r="C13" s="90">
        <v>17890138</v>
      </c>
      <c r="D13" s="89">
        <f>_xlfn.COMPOUNDVALUE(278)</f>
        <v>2630</v>
      </c>
      <c r="E13" s="90">
        <v>1263206</v>
      </c>
      <c r="F13" s="89">
        <f>_xlfn.COMPOUNDVALUE(279)</f>
        <v>6235</v>
      </c>
      <c r="G13" s="90">
        <v>19153344</v>
      </c>
      <c r="H13" s="89">
        <f>_xlfn.COMPOUNDVALUE(280)</f>
        <v>198</v>
      </c>
      <c r="I13" s="91">
        <v>2098870</v>
      </c>
      <c r="J13" s="89">
        <v>544</v>
      </c>
      <c r="K13" s="91">
        <v>143389</v>
      </c>
      <c r="L13" s="89">
        <v>6614</v>
      </c>
      <c r="M13" s="91">
        <v>17197863</v>
      </c>
      <c r="N13" s="86">
        <v>6632</v>
      </c>
      <c r="O13" s="104">
        <v>182</v>
      </c>
      <c r="P13" s="104">
        <v>14</v>
      </c>
      <c r="Q13" s="105">
        <v>6828</v>
      </c>
      <c r="R13" s="66" t="s">
        <v>47</v>
      </c>
    </row>
    <row r="14" spans="1:18" ht="15.75" customHeight="1">
      <c r="A14" s="65" t="s">
        <v>48</v>
      </c>
      <c r="B14" s="89">
        <f>_xlfn.COMPOUNDVALUE(281)</f>
        <v>4358</v>
      </c>
      <c r="C14" s="90">
        <v>18548964</v>
      </c>
      <c r="D14" s="89">
        <f>_xlfn.COMPOUNDVALUE(282)</f>
        <v>3823</v>
      </c>
      <c r="E14" s="90">
        <v>1924913</v>
      </c>
      <c r="F14" s="89">
        <f>_xlfn.COMPOUNDVALUE(283)</f>
        <v>8181</v>
      </c>
      <c r="G14" s="90">
        <v>20473877</v>
      </c>
      <c r="H14" s="89">
        <f>_xlfn.COMPOUNDVALUE(284)</f>
        <v>246</v>
      </c>
      <c r="I14" s="91">
        <v>3859239</v>
      </c>
      <c r="J14" s="89">
        <v>659</v>
      </c>
      <c r="K14" s="91">
        <v>198267</v>
      </c>
      <c r="L14" s="89">
        <v>8668</v>
      </c>
      <c r="M14" s="91">
        <v>16812905</v>
      </c>
      <c r="N14" s="86">
        <v>8423</v>
      </c>
      <c r="O14" s="104">
        <v>218</v>
      </c>
      <c r="P14" s="104">
        <v>17</v>
      </c>
      <c r="Q14" s="105">
        <v>8658</v>
      </c>
      <c r="R14" s="66" t="s">
        <v>48</v>
      </c>
    </row>
    <row r="15" spans="1:18" ht="15.75" customHeight="1">
      <c r="A15" s="67" t="s">
        <v>130</v>
      </c>
      <c r="B15" s="92">
        <v>35855</v>
      </c>
      <c r="C15" s="93">
        <v>181351311</v>
      </c>
      <c r="D15" s="92">
        <v>26996</v>
      </c>
      <c r="E15" s="93">
        <v>13432218</v>
      </c>
      <c r="F15" s="92">
        <v>62851</v>
      </c>
      <c r="G15" s="93">
        <v>194783528</v>
      </c>
      <c r="H15" s="92">
        <v>2684</v>
      </c>
      <c r="I15" s="94">
        <v>15901607</v>
      </c>
      <c r="J15" s="92">
        <v>4999</v>
      </c>
      <c r="K15" s="94">
        <v>1305538</v>
      </c>
      <c r="L15" s="92">
        <v>67226</v>
      </c>
      <c r="M15" s="94">
        <v>180187460</v>
      </c>
      <c r="N15" s="92">
        <v>66754</v>
      </c>
      <c r="O15" s="106">
        <v>2221</v>
      </c>
      <c r="P15" s="106">
        <v>156</v>
      </c>
      <c r="Q15" s="107">
        <v>69131</v>
      </c>
      <c r="R15" s="68" t="s">
        <v>50</v>
      </c>
    </row>
    <row r="16" spans="1:18" ht="15.75" customHeight="1">
      <c r="A16" s="69"/>
      <c r="B16" s="95"/>
      <c r="C16" s="96"/>
      <c r="D16" s="95"/>
      <c r="E16" s="96"/>
      <c r="F16" s="97"/>
      <c r="G16" s="96"/>
      <c r="H16" s="97"/>
      <c r="I16" s="96"/>
      <c r="J16" s="97"/>
      <c r="K16" s="96"/>
      <c r="L16" s="97"/>
      <c r="M16" s="96"/>
      <c r="N16" s="108"/>
      <c r="O16" s="109"/>
      <c r="P16" s="109"/>
      <c r="Q16" s="110"/>
      <c r="R16" s="83" t="s">
        <v>131</v>
      </c>
    </row>
    <row r="17" spans="1:18" ht="15.75" customHeight="1">
      <c r="A17" s="62" t="s">
        <v>51</v>
      </c>
      <c r="B17" s="86">
        <f>_xlfn.COMPOUNDVALUE(285)</f>
        <v>7303</v>
      </c>
      <c r="C17" s="87">
        <v>46922010</v>
      </c>
      <c r="D17" s="86">
        <f>_xlfn.COMPOUNDVALUE(286)</f>
        <v>5007</v>
      </c>
      <c r="E17" s="87">
        <v>2562812</v>
      </c>
      <c r="F17" s="86">
        <f>_xlfn.COMPOUNDVALUE(287)</f>
        <v>12310</v>
      </c>
      <c r="G17" s="87">
        <v>49484821</v>
      </c>
      <c r="H17" s="86">
        <f>_xlfn.COMPOUNDVALUE(288)</f>
        <v>413</v>
      </c>
      <c r="I17" s="88">
        <v>2266224</v>
      </c>
      <c r="J17" s="86">
        <v>980</v>
      </c>
      <c r="K17" s="88">
        <v>179787</v>
      </c>
      <c r="L17" s="86">
        <v>12925</v>
      </c>
      <c r="M17" s="88">
        <v>47398384</v>
      </c>
      <c r="N17" s="86">
        <v>13523</v>
      </c>
      <c r="O17" s="104">
        <v>416</v>
      </c>
      <c r="P17" s="104">
        <v>32</v>
      </c>
      <c r="Q17" s="105">
        <v>13971</v>
      </c>
      <c r="R17" s="66" t="s">
        <v>51</v>
      </c>
    </row>
    <row r="18" spans="1:18" ht="15.75" customHeight="1">
      <c r="A18" s="65" t="s">
        <v>52</v>
      </c>
      <c r="B18" s="89">
        <f>_xlfn.COMPOUNDVALUE(289)</f>
        <v>2093</v>
      </c>
      <c r="C18" s="90">
        <v>10324113</v>
      </c>
      <c r="D18" s="89">
        <f>_xlfn.COMPOUNDVALUE(290)</f>
        <v>1537</v>
      </c>
      <c r="E18" s="90">
        <v>748351</v>
      </c>
      <c r="F18" s="89">
        <f>_xlfn.COMPOUNDVALUE(291)</f>
        <v>3630</v>
      </c>
      <c r="G18" s="90">
        <v>11072463</v>
      </c>
      <c r="H18" s="89">
        <f>_xlfn.COMPOUNDVALUE(292)</f>
        <v>138</v>
      </c>
      <c r="I18" s="91">
        <v>474356</v>
      </c>
      <c r="J18" s="89">
        <v>266</v>
      </c>
      <c r="K18" s="91">
        <v>50995</v>
      </c>
      <c r="L18" s="89">
        <v>3818</v>
      </c>
      <c r="M18" s="91">
        <v>10649102</v>
      </c>
      <c r="N18" s="86">
        <v>3841</v>
      </c>
      <c r="O18" s="104">
        <v>98</v>
      </c>
      <c r="P18" s="104">
        <v>7</v>
      </c>
      <c r="Q18" s="105">
        <v>3946</v>
      </c>
      <c r="R18" s="66" t="s">
        <v>52</v>
      </c>
    </row>
    <row r="19" spans="1:18" ht="15.75" customHeight="1">
      <c r="A19" s="65" t="s">
        <v>53</v>
      </c>
      <c r="B19" s="89">
        <f>_xlfn.COMPOUNDVALUE(293)</f>
        <v>5217</v>
      </c>
      <c r="C19" s="90">
        <v>26132909</v>
      </c>
      <c r="D19" s="89">
        <f>_xlfn.COMPOUNDVALUE(294)</f>
        <v>4239</v>
      </c>
      <c r="E19" s="90">
        <v>2049670</v>
      </c>
      <c r="F19" s="89">
        <f>_xlfn.COMPOUNDVALUE(295)</f>
        <v>9456</v>
      </c>
      <c r="G19" s="90">
        <v>28182579</v>
      </c>
      <c r="H19" s="89">
        <f>_xlfn.COMPOUNDVALUE(296)</f>
        <v>439</v>
      </c>
      <c r="I19" s="91">
        <v>3438648</v>
      </c>
      <c r="J19" s="89">
        <v>658</v>
      </c>
      <c r="K19" s="91">
        <v>87002</v>
      </c>
      <c r="L19" s="89">
        <v>10127</v>
      </c>
      <c r="M19" s="91">
        <v>24830933</v>
      </c>
      <c r="N19" s="86">
        <v>9936</v>
      </c>
      <c r="O19" s="104">
        <v>370</v>
      </c>
      <c r="P19" s="104">
        <v>28</v>
      </c>
      <c r="Q19" s="105">
        <v>10334</v>
      </c>
      <c r="R19" s="66" t="s">
        <v>53</v>
      </c>
    </row>
    <row r="20" spans="1:18" ht="15.75" customHeight="1">
      <c r="A20" s="65" t="s">
        <v>54</v>
      </c>
      <c r="B20" s="89">
        <f>_xlfn.COMPOUNDVALUE(297)</f>
        <v>1645</v>
      </c>
      <c r="C20" s="90">
        <v>6846022</v>
      </c>
      <c r="D20" s="89">
        <f>_xlfn.COMPOUNDVALUE(298)</f>
        <v>1202</v>
      </c>
      <c r="E20" s="90">
        <v>567094</v>
      </c>
      <c r="F20" s="89">
        <f>_xlfn.COMPOUNDVALUE(299)</f>
        <v>2847</v>
      </c>
      <c r="G20" s="90">
        <v>7413116</v>
      </c>
      <c r="H20" s="89">
        <f>_xlfn.COMPOUNDVALUE(300)</f>
        <v>119</v>
      </c>
      <c r="I20" s="91">
        <v>727053</v>
      </c>
      <c r="J20" s="89">
        <v>235</v>
      </c>
      <c r="K20" s="91">
        <v>78170</v>
      </c>
      <c r="L20" s="89">
        <v>3019</v>
      </c>
      <c r="M20" s="91">
        <v>6764233</v>
      </c>
      <c r="N20" s="86">
        <v>2891</v>
      </c>
      <c r="O20" s="104">
        <v>99</v>
      </c>
      <c r="P20" s="104">
        <v>5</v>
      </c>
      <c r="Q20" s="105">
        <v>2995</v>
      </c>
      <c r="R20" s="66" t="s">
        <v>54</v>
      </c>
    </row>
    <row r="21" spans="1:18" ht="15.75" customHeight="1">
      <c r="A21" s="65" t="s">
        <v>55</v>
      </c>
      <c r="B21" s="89">
        <f>_xlfn.COMPOUNDVALUE(301)</f>
        <v>2571</v>
      </c>
      <c r="C21" s="90">
        <v>10126642</v>
      </c>
      <c r="D21" s="89">
        <f>_xlfn.COMPOUNDVALUE(302)</f>
        <v>2063</v>
      </c>
      <c r="E21" s="90">
        <v>952961</v>
      </c>
      <c r="F21" s="89">
        <f>_xlfn.COMPOUNDVALUE(303)</f>
        <v>4634</v>
      </c>
      <c r="G21" s="90">
        <v>11079603</v>
      </c>
      <c r="H21" s="89">
        <f>_xlfn.COMPOUNDVALUE(304)</f>
        <v>155</v>
      </c>
      <c r="I21" s="91">
        <v>834070</v>
      </c>
      <c r="J21" s="89">
        <v>470</v>
      </c>
      <c r="K21" s="91">
        <v>65359</v>
      </c>
      <c r="L21" s="89">
        <v>4895</v>
      </c>
      <c r="M21" s="91">
        <v>10310892</v>
      </c>
      <c r="N21" s="86">
        <v>4756</v>
      </c>
      <c r="O21" s="104">
        <v>123</v>
      </c>
      <c r="P21" s="104">
        <v>3</v>
      </c>
      <c r="Q21" s="105">
        <v>4882</v>
      </c>
      <c r="R21" s="66" t="s">
        <v>55</v>
      </c>
    </row>
    <row r="22" spans="1:18" ht="15.75" customHeight="1">
      <c r="A22" s="65" t="s">
        <v>56</v>
      </c>
      <c r="B22" s="89">
        <f>_xlfn.COMPOUNDVALUE(305)</f>
        <v>1651</v>
      </c>
      <c r="C22" s="90">
        <v>10066818</v>
      </c>
      <c r="D22" s="89">
        <f>_xlfn.COMPOUNDVALUE(306)</f>
        <v>1673</v>
      </c>
      <c r="E22" s="90">
        <v>739215</v>
      </c>
      <c r="F22" s="89">
        <f>_xlfn.COMPOUNDVALUE(307)</f>
        <v>3324</v>
      </c>
      <c r="G22" s="90">
        <v>10806033</v>
      </c>
      <c r="H22" s="89">
        <f>_xlfn.COMPOUNDVALUE(308)</f>
        <v>142</v>
      </c>
      <c r="I22" s="91">
        <v>515271</v>
      </c>
      <c r="J22" s="89">
        <v>224</v>
      </c>
      <c r="K22" s="91">
        <v>33546</v>
      </c>
      <c r="L22" s="89">
        <v>3538</v>
      </c>
      <c r="M22" s="91">
        <v>10324308</v>
      </c>
      <c r="N22" s="86">
        <v>3339</v>
      </c>
      <c r="O22" s="104">
        <v>132</v>
      </c>
      <c r="P22" s="104">
        <v>10</v>
      </c>
      <c r="Q22" s="105">
        <v>3481</v>
      </c>
      <c r="R22" s="66" t="s">
        <v>56</v>
      </c>
    </row>
    <row r="23" spans="1:18" ht="15.75" customHeight="1">
      <c r="A23" s="65" t="s">
        <v>57</v>
      </c>
      <c r="B23" s="89">
        <f>_xlfn.COMPOUNDVALUE(309)</f>
        <v>2969</v>
      </c>
      <c r="C23" s="90">
        <v>10579514</v>
      </c>
      <c r="D23" s="89">
        <f>_xlfn.COMPOUNDVALUE(310)</f>
        <v>2434</v>
      </c>
      <c r="E23" s="90">
        <v>1119232</v>
      </c>
      <c r="F23" s="89">
        <f>_xlfn.COMPOUNDVALUE(311)</f>
        <v>5403</v>
      </c>
      <c r="G23" s="90">
        <v>11698746</v>
      </c>
      <c r="H23" s="89">
        <f>_xlfn.COMPOUNDVALUE(312)</f>
        <v>173</v>
      </c>
      <c r="I23" s="91">
        <v>3015358</v>
      </c>
      <c r="J23" s="89">
        <v>454</v>
      </c>
      <c r="K23" s="91">
        <v>97997</v>
      </c>
      <c r="L23" s="89">
        <v>5694</v>
      </c>
      <c r="M23" s="91">
        <v>8781385</v>
      </c>
      <c r="N23" s="86">
        <v>5608</v>
      </c>
      <c r="O23" s="104">
        <v>153</v>
      </c>
      <c r="P23" s="104">
        <v>6</v>
      </c>
      <c r="Q23" s="105">
        <v>5767</v>
      </c>
      <c r="R23" s="66" t="s">
        <v>57</v>
      </c>
    </row>
    <row r="24" spans="1:18" ht="15.75" customHeight="1">
      <c r="A24" s="65" t="s">
        <v>58</v>
      </c>
      <c r="B24" s="89">
        <f>_xlfn.COMPOUNDVALUE(313)</f>
        <v>1694</v>
      </c>
      <c r="C24" s="90">
        <v>6480729</v>
      </c>
      <c r="D24" s="89">
        <f>_xlfn.COMPOUNDVALUE(314)</f>
        <v>1629</v>
      </c>
      <c r="E24" s="90">
        <v>745058</v>
      </c>
      <c r="F24" s="89">
        <f>_xlfn.COMPOUNDVALUE(315)</f>
        <v>3323</v>
      </c>
      <c r="G24" s="90">
        <v>7225787</v>
      </c>
      <c r="H24" s="89">
        <f>_xlfn.COMPOUNDVALUE(316)</f>
        <v>110</v>
      </c>
      <c r="I24" s="91">
        <v>482296</v>
      </c>
      <c r="J24" s="89">
        <v>260</v>
      </c>
      <c r="K24" s="91">
        <v>52961</v>
      </c>
      <c r="L24" s="89">
        <v>3523</v>
      </c>
      <c r="M24" s="91">
        <v>6796452</v>
      </c>
      <c r="N24" s="86">
        <v>3432</v>
      </c>
      <c r="O24" s="104">
        <v>81</v>
      </c>
      <c r="P24" s="104">
        <v>4</v>
      </c>
      <c r="Q24" s="105">
        <v>3517</v>
      </c>
      <c r="R24" s="66" t="s">
        <v>58</v>
      </c>
    </row>
    <row r="25" spans="1:18" ht="15.75" customHeight="1">
      <c r="A25" s="67" t="s">
        <v>59</v>
      </c>
      <c r="B25" s="92">
        <v>25143</v>
      </c>
      <c r="C25" s="93">
        <v>127478756</v>
      </c>
      <c r="D25" s="92">
        <v>19784</v>
      </c>
      <c r="E25" s="93">
        <v>9484392</v>
      </c>
      <c r="F25" s="92">
        <v>44927</v>
      </c>
      <c r="G25" s="93">
        <v>136963148</v>
      </c>
      <c r="H25" s="92">
        <v>1689</v>
      </c>
      <c r="I25" s="94">
        <v>11753277</v>
      </c>
      <c r="J25" s="92">
        <v>3547</v>
      </c>
      <c r="K25" s="94">
        <v>645817</v>
      </c>
      <c r="L25" s="92">
        <v>47539</v>
      </c>
      <c r="M25" s="94">
        <v>125855688</v>
      </c>
      <c r="N25" s="92">
        <v>47326</v>
      </c>
      <c r="O25" s="106">
        <v>1472</v>
      </c>
      <c r="P25" s="106">
        <v>95</v>
      </c>
      <c r="Q25" s="107">
        <v>48893</v>
      </c>
      <c r="R25" s="68" t="s">
        <v>60</v>
      </c>
    </row>
    <row r="26" spans="1:18" ht="15.75" customHeight="1">
      <c r="A26" s="69"/>
      <c r="B26" s="95"/>
      <c r="C26" s="96"/>
      <c r="D26" s="95"/>
      <c r="E26" s="96"/>
      <c r="F26" s="97"/>
      <c r="G26" s="96"/>
      <c r="H26" s="97"/>
      <c r="I26" s="96"/>
      <c r="J26" s="97"/>
      <c r="K26" s="96"/>
      <c r="L26" s="97"/>
      <c r="M26" s="96"/>
      <c r="N26" s="108"/>
      <c r="O26" s="109"/>
      <c r="P26" s="109"/>
      <c r="Q26" s="110"/>
      <c r="R26" s="83" t="s">
        <v>131</v>
      </c>
    </row>
    <row r="27" spans="1:18" ht="15.75" customHeight="1">
      <c r="A27" s="62" t="s">
        <v>61</v>
      </c>
      <c r="B27" s="86">
        <f>_xlfn.COMPOUNDVALUE(317)</f>
        <v>4934</v>
      </c>
      <c r="C27" s="87">
        <v>35008221</v>
      </c>
      <c r="D27" s="86">
        <f>_xlfn.COMPOUNDVALUE(318)</f>
        <v>3270</v>
      </c>
      <c r="E27" s="87">
        <v>1621043</v>
      </c>
      <c r="F27" s="86">
        <f>_xlfn.COMPOUNDVALUE(319)</f>
        <v>8204</v>
      </c>
      <c r="G27" s="87">
        <v>36629264</v>
      </c>
      <c r="H27" s="86">
        <f>_xlfn.COMPOUNDVALUE(320)</f>
        <v>381</v>
      </c>
      <c r="I27" s="88">
        <v>1272094</v>
      </c>
      <c r="J27" s="86">
        <v>631</v>
      </c>
      <c r="K27" s="88">
        <v>148221</v>
      </c>
      <c r="L27" s="86">
        <v>8736</v>
      </c>
      <c r="M27" s="88">
        <v>35505391</v>
      </c>
      <c r="N27" s="86">
        <v>9546</v>
      </c>
      <c r="O27" s="104">
        <v>266</v>
      </c>
      <c r="P27" s="104">
        <v>26</v>
      </c>
      <c r="Q27" s="105">
        <v>9838</v>
      </c>
      <c r="R27" s="66" t="s">
        <v>61</v>
      </c>
    </row>
    <row r="28" spans="1:18" ht="15.75" customHeight="1">
      <c r="A28" s="62" t="s">
        <v>62</v>
      </c>
      <c r="B28" s="86">
        <f>_xlfn.COMPOUNDVALUE(321)</f>
        <v>6995</v>
      </c>
      <c r="C28" s="87">
        <v>52167228</v>
      </c>
      <c r="D28" s="86">
        <f>_xlfn.COMPOUNDVALUE(322)</f>
        <v>4917</v>
      </c>
      <c r="E28" s="87">
        <v>2409932</v>
      </c>
      <c r="F28" s="86">
        <f>_xlfn.COMPOUNDVALUE(323)</f>
        <v>11912</v>
      </c>
      <c r="G28" s="87">
        <v>54577160</v>
      </c>
      <c r="H28" s="86">
        <f>_xlfn.COMPOUNDVALUE(324)</f>
        <v>490</v>
      </c>
      <c r="I28" s="88">
        <v>8659360</v>
      </c>
      <c r="J28" s="86">
        <v>874</v>
      </c>
      <c r="K28" s="88">
        <v>112578</v>
      </c>
      <c r="L28" s="86">
        <v>12610</v>
      </c>
      <c r="M28" s="88">
        <v>46030378</v>
      </c>
      <c r="N28" s="86">
        <v>12516</v>
      </c>
      <c r="O28" s="104">
        <v>377</v>
      </c>
      <c r="P28" s="104">
        <v>40</v>
      </c>
      <c r="Q28" s="105">
        <v>12933</v>
      </c>
      <c r="R28" s="66" t="s">
        <v>62</v>
      </c>
    </row>
    <row r="29" spans="1:18" ht="15.75" customHeight="1">
      <c r="A29" s="65" t="s">
        <v>63</v>
      </c>
      <c r="B29" s="89">
        <f>_xlfn.COMPOUNDVALUE(325)</f>
        <v>2427</v>
      </c>
      <c r="C29" s="90">
        <v>10541445</v>
      </c>
      <c r="D29" s="89">
        <f>_xlfn.COMPOUNDVALUE(326)</f>
        <v>1789</v>
      </c>
      <c r="E29" s="90">
        <v>810433</v>
      </c>
      <c r="F29" s="89">
        <f>_xlfn.COMPOUNDVALUE(327)</f>
        <v>4216</v>
      </c>
      <c r="G29" s="90">
        <v>11351878</v>
      </c>
      <c r="H29" s="89">
        <f>_xlfn.COMPOUNDVALUE(328)</f>
        <v>153</v>
      </c>
      <c r="I29" s="91">
        <v>2685609</v>
      </c>
      <c r="J29" s="89">
        <v>293</v>
      </c>
      <c r="K29" s="91">
        <v>72379</v>
      </c>
      <c r="L29" s="89">
        <v>4449</v>
      </c>
      <c r="M29" s="91">
        <v>8738648</v>
      </c>
      <c r="N29" s="86">
        <v>4297</v>
      </c>
      <c r="O29" s="104">
        <v>98</v>
      </c>
      <c r="P29" s="104">
        <v>11</v>
      </c>
      <c r="Q29" s="105">
        <v>4406</v>
      </c>
      <c r="R29" s="66" t="s">
        <v>63</v>
      </c>
    </row>
    <row r="30" spans="1:18" ht="15.75" customHeight="1">
      <c r="A30" s="65" t="s">
        <v>64</v>
      </c>
      <c r="B30" s="89">
        <f>_xlfn.COMPOUNDVALUE(329)</f>
        <v>3322</v>
      </c>
      <c r="C30" s="90">
        <v>16980987</v>
      </c>
      <c r="D30" s="89">
        <f>_xlfn.COMPOUNDVALUE(330)</f>
        <v>2174</v>
      </c>
      <c r="E30" s="90">
        <v>1069164</v>
      </c>
      <c r="F30" s="89">
        <f>_xlfn.COMPOUNDVALUE(331)</f>
        <v>5496</v>
      </c>
      <c r="G30" s="90">
        <v>18050151</v>
      </c>
      <c r="H30" s="89">
        <f>_xlfn.COMPOUNDVALUE(332)</f>
        <v>344</v>
      </c>
      <c r="I30" s="91">
        <v>4588528</v>
      </c>
      <c r="J30" s="89">
        <v>469</v>
      </c>
      <c r="K30" s="91">
        <v>123879</v>
      </c>
      <c r="L30" s="89">
        <v>5968</v>
      </c>
      <c r="M30" s="91">
        <v>13585502</v>
      </c>
      <c r="N30" s="86">
        <v>5730</v>
      </c>
      <c r="O30" s="104">
        <v>256</v>
      </c>
      <c r="P30" s="104">
        <v>19</v>
      </c>
      <c r="Q30" s="105">
        <v>6005</v>
      </c>
      <c r="R30" s="66" t="s">
        <v>64</v>
      </c>
    </row>
    <row r="31" spans="1:18" ht="15.75" customHeight="1">
      <c r="A31" s="65" t="s">
        <v>65</v>
      </c>
      <c r="B31" s="89">
        <f>_xlfn.COMPOUNDVALUE(333)</f>
        <v>1373</v>
      </c>
      <c r="C31" s="90">
        <v>4267116</v>
      </c>
      <c r="D31" s="89">
        <f>_xlfn.COMPOUNDVALUE(334)</f>
        <v>1250</v>
      </c>
      <c r="E31" s="90">
        <v>550596</v>
      </c>
      <c r="F31" s="89">
        <f>_xlfn.COMPOUNDVALUE(335)</f>
        <v>2623</v>
      </c>
      <c r="G31" s="90">
        <v>4817712</v>
      </c>
      <c r="H31" s="89">
        <f>_xlfn.COMPOUNDVALUE(336)</f>
        <v>58</v>
      </c>
      <c r="I31" s="91">
        <v>157395</v>
      </c>
      <c r="J31" s="89">
        <v>258</v>
      </c>
      <c r="K31" s="91">
        <v>34984</v>
      </c>
      <c r="L31" s="89">
        <v>2738</v>
      </c>
      <c r="M31" s="91">
        <v>4695301</v>
      </c>
      <c r="N31" s="86">
        <v>2647</v>
      </c>
      <c r="O31" s="104">
        <v>84</v>
      </c>
      <c r="P31" s="104">
        <v>1</v>
      </c>
      <c r="Q31" s="105">
        <v>2732</v>
      </c>
      <c r="R31" s="66" t="s">
        <v>65</v>
      </c>
    </row>
    <row r="32" spans="1:18" ht="15.75" customHeight="1">
      <c r="A32" s="65" t="s">
        <v>66</v>
      </c>
      <c r="B32" s="89">
        <f>_xlfn.COMPOUNDVALUE(337)</f>
        <v>5359</v>
      </c>
      <c r="C32" s="90">
        <v>31103469</v>
      </c>
      <c r="D32" s="89">
        <f>_xlfn.COMPOUNDVALUE(338)</f>
        <v>3821</v>
      </c>
      <c r="E32" s="90">
        <v>1887921</v>
      </c>
      <c r="F32" s="89">
        <f>_xlfn.COMPOUNDVALUE(339)</f>
        <v>9180</v>
      </c>
      <c r="G32" s="90">
        <v>32991390</v>
      </c>
      <c r="H32" s="89">
        <f>_xlfn.COMPOUNDVALUE(340)</f>
        <v>484</v>
      </c>
      <c r="I32" s="91">
        <v>2692723</v>
      </c>
      <c r="J32" s="89">
        <v>686</v>
      </c>
      <c r="K32" s="91">
        <v>120988</v>
      </c>
      <c r="L32" s="89">
        <v>9859</v>
      </c>
      <c r="M32" s="91">
        <v>30419655</v>
      </c>
      <c r="N32" s="86">
        <v>9871</v>
      </c>
      <c r="O32" s="104">
        <v>411</v>
      </c>
      <c r="P32" s="104">
        <v>56</v>
      </c>
      <c r="Q32" s="105">
        <v>10338</v>
      </c>
      <c r="R32" s="66" t="s">
        <v>66</v>
      </c>
    </row>
    <row r="33" spans="1:18" ht="15.75" customHeight="1">
      <c r="A33" s="65" t="s">
        <v>67</v>
      </c>
      <c r="B33" s="89">
        <f>_xlfn.COMPOUNDVALUE(341)</f>
        <v>804</v>
      </c>
      <c r="C33" s="90">
        <v>3030829</v>
      </c>
      <c r="D33" s="89">
        <f>_xlfn.COMPOUNDVALUE(342)</f>
        <v>614</v>
      </c>
      <c r="E33" s="90">
        <v>270621</v>
      </c>
      <c r="F33" s="89">
        <f>_xlfn.COMPOUNDVALUE(343)</f>
        <v>1418</v>
      </c>
      <c r="G33" s="90">
        <v>3301450</v>
      </c>
      <c r="H33" s="89">
        <f>_xlfn.COMPOUNDVALUE(344)</f>
        <v>51</v>
      </c>
      <c r="I33" s="91">
        <v>107873</v>
      </c>
      <c r="J33" s="89">
        <v>88</v>
      </c>
      <c r="K33" s="91">
        <v>15592</v>
      </c>
      <c r="L33" s="89">
        <v>1483</v>
      </c>
      <c r="M33" s="91">
        <v>3209169</v>
      </c>
      <c r="N33" s="86">
        <v>1887</v>
      </c>
      <c r="O33" s="104">
        <v>44</v>
      </c>
      <c r="P33" s="104">
        <v>1</v>
      </c>
      <c r="Q33" s="105">
        <v>1932</v>
      </c>
      <c r="R33" s="66" t="s">
        <v>67</v>
      </c>
    </row>
    <row r="34" spans="1:18" ht="15.75" customHeight="1">
      <c r="A34" s="65" t="s">
        <v>68</v>
      </c>
      <c r="B34" s="89">
        <f>_xlfn.COMPOUNDVALUE(345)</f>
        <v>1012</v>
      </c>
      <c r="C34" s="90">
        <v>4495692</v>
      </c>
      <c r="D34" s="89">
        <f>_xlfn.COMPOUNDVALUE(346)</f>
        <v>997</v>
      </c>
      <c r="E34" s="90">
        <v>443187</v>
      </c>
      <c r="F34" s="89">
        <f>_xlfn.COMPOUNDVALUE(347)</f>
        <v>2009</v>
      </c>
      <c r="G34" s="90">
        <v>4938879</v>
      </c>
      <c r="H34" s="89">
        <f>_xlfn.COMPOUNDVALUE(348)</f>
        <v>64</v>
      </c>
      <c r="I34" s="91">
        <v>77134</v>
      </c>
      <c r="J34" s="89">
        <v>120</v>
      </c>
      <c r="K34" s="91">
        <v>10929</v>
      </c>
      <c r="L34" s="89">
        <v>2091</v>
      </c>
      <c r="M34" s="91">
        <v>4872674</v>
      </c>
      <c r="N34" s="86">
        <v>1963</v>
      </c>
      <c r="O34" s="104">
        <v>41</v>
      </c>
      <c r="P34" s="104">
        <v>4</v>
      </c>
      <c r="Q34" s="105">
        <v>2008</v>
      </c>
      <c r="R34" s="66" t="s">
        <v>68</v>
      </c>
    </row>
    <row r="35" spans="1:18" ht="15.75" customHeight="1">
      <c r="A35" s="65" t="s">
        <v>69</v>
      </c>
      <c r="B35" s="89">
        <f>_xlfn.COMPOUNDVALUE(349)</f>
        <v>1037</v>
      </c>
      <c r="C35" s="90">
        <v>3279136</v>
      </c>
      <c r="D35" s="89">
        <f>_xlfn.COMPOUNDVALUE(350)</f>
        <v>922</v>
      </c>
      <c r="E35" s="90">
        <v>447788</v>
      </c>
      <c r="F35" s="89">
        <f>_xlfn.COMPOUNDVALUE(351)</f>
        <v>1959</v>
      </c>
      <c r="G35" s="90">
        <v>3726924</v>
      </c>
      <c r="H35" s="89">
        <f>_xlfn.COMPOUNDVALUE(352)</f>
        <v>58</v>
      </c>
      <c r="I35" s="91">
        <v>78835</v>
      </c>
      <c r="J35" s="89">
        <v>110</v>
      </c>
      <c r="K35" s="91">
        <v>30128</v>
      </c>
      <c r="L35" s="89">
        <v>2038</v>
      </c>
      <c r="M35" s="91">
        <v>3678217</v>
      </c>
      <c r="N35" s="86">
        <v>1969</v>
      </c>
      <c r="O35" s="104">
        <v>61</v>
      </c>
      <c r="P35" s="104">
        <v>1</v>
      </c>
      <c r="Q35" s="105">
        <v>2031</v>
      </c>
      <c r="R35" s="66" t="s">
        <v>69</v>
      </c>
    </row>
    <row r="36" spans="1:18" ht="15.75" customHeight="1">
      <c r="A36" s="67" t="s">
        <v>70</v>
      </c>
      <c r="B36" s="92">
        <v>27263</v>
      </c>
      <c r="C36" s="93">
        <v>160874122</v>
      </c>
      <c r="D36" s="92">
        <v>19754</v>
      </c>
      <c r="E36" s="93">
        <v>9510686</v>
      </c>
      <c r="F36" s="92">
        <v>47017</v>
      </c>
      <c r="G36" s="93">
        <v>170384808</v>
      </c>
      <c r="H36" s="92">
        <v>2083</v>
      </c>
      <c r="I36" s="94">
        <v>20319550</v>
      </c>
      <c r="J36" s="92">
        <v>3529</v>
      </c>
      <c r="K36" s="94">
        <v>669678</v>
      </c>
      <c r="L36" s="92">
        <v>49972</v>
      </c>
      <c r="M36" s="94">
        <v>150734937</v>
      </c>
      <c r="N36" s="92">
        <v>50426</v>
      </c>
      <c r="O36" s="106">
        <v>1638</v>
      </c>
      <c r="P36" s="106">
        <v>159</v>
      </c>
      <c r="Q36" s="107">
        <v>52223</v>
      </c>
      <c r="R36" s="68" t="s">
        <v>71</v>
      </c>
    </row>
    <row r="37" spans="1:18" ht="15.75" customHeight="1">
      <c r="A37" s="69"/>
      <c r="B37" s="95"/>
      <c r="C37" s="96"/>
      <c r="D37" s="95"/>
      <c r="E37" s="96"/>
      <c r="F37" s="97"/>
      <c r="G37" s="96"/>
      <c r="H37" s="97"/>
      <c r="I37" s="96"/>
      <c r="J37" s="97"/>
      <c r="K37" s="96"/>
      <c r="L37" s="97"/>
      <c r="M37" s="96"/>
      <c r="N37" s="108"/>
      <c r="O37" s="109"/>
      <c r="P37" s="109"/>
      <c r="Q37" s="110"/>
      <c r="R37" s="83" t="s">
        <v>131</v>
      </c>
    </row>
    <row r="38" spans="1:18" ht="15.75" customHeight="1">
      <c r="A38" s="62" t="s">
        <v>72</v>
      </c>
      <c r="B38" s="86">
        <f>_xlfn.COMPOUNDVALUE(353)</f>
        <v>8774</v>
      </c>
      <c r="C38" s="87">
        <v>44260023</v>
      </c>
      <c r="D38" s="86">
        <f>_xlfn.COMPOUNDVALUE(354)</f>
        <v>6834</v>
      </c>
      <c r="E38" s="87">
        <v>3563584</v>
      </c>
      <c r="F38" s="86">
        <f>_xlfn.COMPOUNDVALUE(355)</f>
        <v>15608</v>
      </c>
      <c r="G38" s="87">
        <v>47823606</v>
      </c>
      <c r="H38" s="86">
        <f>_xlfn.COMPOUNDVALUE(356)</f>
        <v>692</v>
      </c>
      <c r="I38" s="88">
        <v>2830328</v>
      </c>
      <c r="J38" s="86">
        <v>1054</v>
      </c>
      <c r="K38" s="88">
        <v>-29233</v>
      </c>
      <c r="L38" s="86">
        <v>16708</v>
      </c>
      <c r="M38" s="88">
        <v>44964045</v>
      </c>
      <c r="N38" s="86">
        <v>16873</v>
      </c>
      <c r="O38" s="104">
        <v>530</v>
      </c>
      <c r="P38" s="104">
        <v>42</v>
      </c>
      <c r="Q38" s="105">
        <v>17445</v>
      </c>
      <c r="R38" s="66" t="s">
        <v>72</v>
      </c>
    </row>
    <row r="39" spans="1:18" ht="15.75" customHeight="1">
      <c r="A39" s="62" t="s">
        <v>73</v>
      </c>
      <c r="B39" s="86">
        <f>_xlfn.COMPOUNDVALUE(357)</f>
        <v>4221</v>
      </c>
      <c r="C39" s="87">
        <v>20882164</v>
      </c>
      <c r="D39" s="86">
        <f>_xlfn.COMPOUNDVALUE(358)</f>
        <v>3349</v>
      </c>
      <c r="E39" s="87">
        <v>1540087</v>
      </c>
      <c r="F39" s="86">
        <f>_xlfn.COMPOUNDVALUE(359)</f>
        <v>7570</v>
      </c>
      <c r="G39" s="87">
        <v>22422251</v>
      </c>
      <c r="H39" s="86">
        <f>_xlfn.COMPOUNDVALUE(360)</f>
        <v>296</v>
      </c>
      <c r="I39" s="88">
        <v>627247</v>
      </c>
      <c r="J39" s="86">
        <v>479</v>
      </c>
      <c r="K39" s="88">
        <v>116297</v>
      </c>
      <c r="L39" s="86">
        <v>7991</v>
      </c>
      <c r="M39" s="88">
        <v>21911301</v>
      </c>
      <c r="N39" s="86">
        <v>7995</v>
      </c>
      <c r="O39" s="104">
        <v>239</v>
      </c>
      <c r="P39" s="104">
        <v>35</v>
      </c>
      <c r="Q39" s="105">
        <v>8269</v>
      </c>
      <c r="R39" s="66" t="s">
        <v>73</v>
      </c>
    </row>
    <row r="40" spans="1:18" ht="15.75" customHeight="1">
      <c r="A40" s="62" t="s">
        <v>74</v>
      </c>
      <c r="B40" s="86">
        <f>_xlfn.COMPOUNDVALUE(361)</f>
        <v>9528</v>
      </c>
      <c r="C40" s="87">
        <v>37783790</v>
      </c>
      <c r="D40" s="86">
        <f>_xlfn.COMPOUNDVALUE(362)</f>
        <v>6816</v>
      </c>
      <c r="E40" s="87">
        <v>3689387</v>
      </c>
      <c r="F40" s="86">
        <f>_xlfn.COMPOUNDVALUE(363)</f>
        <v>16344</v>
      </c>
      <c r="G40" s="87">
        <v>41473176</v>
      </c>
      <c r="H40" s="86">
        <f>_xlfn.COMPOUNDVALUE(364)</f>
        <v>875</v>
      </c>
      <c r="I40" s="88">
        <v>3442613</v>
      </c>
      <c r="J40" s="86">
        <v>1422</v>
      </c>
      <c r="K40" s="88">
        <v>550631</v>
      </c>
      <c r="L40" s="86">
        <v>17652</v>
      </c>
      <c r="M40" s="88">
        <v>38581194</v>
      </c>
      <c r="N40" s="86">
        <v>18116</v>
      </c>
      <c r="O40" s="104">
        <v>507</v>
      </c>
      <c r="P40" s="104">
        <v>52</v>
      </c>
      <c r="Q40" s="105">
        <v>18675</v>
      </c>
      <c r="R40" s="66" t="s">
        <v>74</v>
      </c>
    </row>
    <row r="41" spans="1:18" ht="15.75" customHeight="1">
      <c r="A41" s="62" t="s">
        <v>75</v>
      </c>
      <c r="B41" s="86">
        <f>_xlfn.COMPOUNDVALUE(365)</f>
        <v>4983</v>
      </c>
      <c r="C41" s="87">
        <v>24784213</v>
      </c>
      <c r="D41" s="86">
        <f>_xlfn.COMPOUNDVALUE(366)</f>
        <v>3359</v>
      </c>
      <c r="E41" s="87">
        <v>1975885</v>
      </c>
      <c r="F41" s="86">
        <f>_xlfn.COMPOUNDVALUE(367)</f>
        <v>8342</v>
      </c>
      <c r="G41" s="87">
        <v>26760098</v>
      </c>
      <c r="H41" s="86">
        <f>_xlfn.COMPOUNDVALUE(368)</f>
        <v>654</v>
      </c>
      <c r="I41" s="88">
        <v>2286390</v>
      </c>
      <c r="J41" s="86">
        <v>750</v>
      </c>
      <c r="K41" s="88">
        <v>197682</v>
      </c>
      <c r="L41" s="86">
        <v>9256</v>
      </c>
      <c r="M41" s="88">
        <v>24671390</v>
      </c>
      <c r="N41" s="86">
        <v>9529</v>
      </c>
      <c r="O41" s="104">
        <v>363</v>
      </c>
      <c r="P41" s="104">
        <v>25</v>
      </c>
      <c r="Q41" s="105">
        <v>9917</v>
      </c>
      <c r="R41" s="66" t="s">
        <v>75</v>
      </c>
    </row>
    <row r="42" spans="1:18" ht="15.75" customHeight="1">
      <c r="A42" s="62" t="s">
        <v>76</v>
      </c>
      <c r="B42" s="86">
        <f>_xlfn.COMPOUNDVALUE(369)</f>
        <v>6720</v>
      </c>
      <c r="C42" s="87">
        <v>51204735</v>
      </c>
      <c r="D42" s="86">
        <f>_xlfn.COMPOUNDVALUE(370)</f>
        <v>5039</v>
      </c>
      <c r="E42" s="87">
        <v>2953539</v>
      </c>
      <c r="F42" s="86">
        <f>_xlfn.COMPOUNDVALUE(371)</f>
        <v>11759</v>
      </c>
      <c r="G42" s="87">
        <v>54158274</v>
      </c>
      <c r="H42" s="86">
        <f>_xlfn.COMPOUNDVALUE(372)</f>
        <v>724</v>
      </c>
      <c r="I42" s="88">
        <v>4346440</v>
      </c>
      <c r="J42" s="86">
        <v>895</v>
      </c>
      <c r="K42" s="88">
        <v>425583</v>
      </c>
      <c r="L42" s="86">
        <v>12745</v>
      </c>
      <c r="M42" s="88">
        <v>50237417</v>
      </c>
      <c r="N42" s="86">
        <v>12844</v>
      </c>
      <c r="O42" s="104">
        <v>581</v>
      </c>
      <c r="P42" s="104">
        <v>30</v>
      </c>
      <c r="Q42" s="105">
        <v>13455</v>
      </c>
      <c r="R42" s="66" t="s">
        <v>76</v>
      </c>
    </row>
    <row r="43" spans="1:18" ht="15.75" customHeight="1">
      <c r="A43" s="62" t="s">
        <v>77</v>
      </c>
      <c r="B43" s="86">
        <f>_xlfn.COMPOUNDVALUE(373)</f>
        <v>5995</v>
      </c>
      <c r="C43" s="87">
        <v>49757060</v>
      </c>
      <c r="D43" s="86">
        <f>_xlfn.COMPOUNDVALUE(374)</f>
        <v>3989</v>
      </c>
      <c r="E43" s="87">
        <v>2313421</v>
      </c>
      <c r="F43" s="86">
        <f>_xlfn.COMPOUNDVALUE(375)</f>
        <v>9984</v>
      </c>
      <c r="G43" s="87">
        <v>52070481</v>
      </c>
      <c r="H43" s="86">
        <f>_xlfn.COMPOUNDVALUE(376)</f>
        <v>530</v>
      </c>
      <c r="I43" s="88">
        <v>3214696</v>
      </c>
      <c r="J43" s="86">
        <v>794</v>
      </c>
      <c r="K43" s="88">
        <v>225313</v>
      </c>
      <c r="L43" s="86">
        <v>10727</v>
      </c>
      <c r="M43" s="88">
        <v>49081098</v>
      </c>
      <c r="N43" s="86">
        <v>10843</v>
      </c>
      <c r="O43" s="104">
        <v>416</v>
      </c>
      <c r="P43" s="104">
        <v>51</v>
      </c>
      <c r="Q43" s="105">
        <v>11310</v>
      </c>
      <c r="R43" s="66" t="s">
        <v>77</v>
      </c>
    </row>
    <row r="44" spans="1:18" ht="15.75" customHeight="1">
      <c r="A44" s="62" t="s">
        <v>78</v>
      </c>
      <c r="B44" s="86">
        <f>_xlfn.COMPOUNDVALUE(377)</f>
        <v>2693</v>
      </c>
      <c r="C44" s="87">
        <v>12435747</v>
      </c>
      <c r="D44" s="86">
        <f>_xlfn.COMPOUNDVALUE(378)</f>
        <v>2059</v>
      </c>
      <c r="E44" s="87">
        <v>914104</v>
      </c>
      <c r="F44" s="86">
        <f>_xlfn.COMPOUNDVALUE(379)</f>
        <v>4752</v>
      </c>
      <c r="G44" s="87">
        <v>13349851</v>
      </c>
      <c r="H44" s="86">
        <f>_xlfn.COMPOUNDVALUE(380)</f>
        <v>257</v>
      </c>
      <c r="I44" s="88">
        <v>2748484</v>
      </c>
      <c r="J44" s="86">
        <v>289</v>
      </c>
      <c r="K44" s="88">
        <v>16948</v>
      </c>
      <c r="L44" s="86">
        <v>5093</v>
      </c>
      <c r="M44" s="88">
        <v>10618315</v>
      </c>
      <c r="N44" s="86">
        <v>5107</v>
      </c>
      <c r="O44" s="104">
        <v>177</v>
      </c>
      <c r="P44" s="104">
        <v>15</v>
      </c>
      <c r="Q44" s="105">
        <v>5299</v>
      </c>
      <c r="R44" s="66" t="s">
        <v>78</v>
      </c>
    </row>
    <row r="45" spans="1:18" ht="15.75" customHeight="1">
      <c r="A45" s="62" t="s">
        <v>79</v>
      </c>
      <c r="B45" s="86">
        <f>_xlfn.COMPOUNDVALUE(381)</f>
        <v>1275</v>
      </c>
      <c r="C45" s="87">
        <v>6104214</v>
      </c>
      <c r="D45" s="86">
        <f>_xlfn.COMPOUNDVALUE(382)</f>
        <v>1071</v>
      </c>
      <c r="E45" s="87">
        <v>498342</v>
      </c>
      <c r="F45" s="86">
        <f>_xlfn.COMPOUNDVALUE(383)</f>
        <v>2346</v>
      </c>
      <c r="G45" s="87">
        <v>6602557</v>
      </c>
      <c r="H45" s="86">
        <f>_xlfn.COMPOUNDVALUE(384)</f>
        <v>56</v>
      </c>
      <c r="I45" s="88">
        <v>150844</v>
      </c>
      <c r="J45" s="86">
        <v>214</v>
      </c>
      <c r="K45" s="88">
        <v>35774</v>
      </c>
      <c r="L45" s="86">
        <v>2447</v>
      </c>
      <c r="M45" s="88">
        <v>6487487</v>
      </c>
      <c r="N45" s="86">
        <v>2358</v>
      </c>
      <c r="O45" s="104">
        <v>37</v>
      </c>
      <c r="P45" s="104">
        <v>9</v>
      </c>
      <c r="Q45" s="105">
        <v>2404</v>
      </c>
      <c r="R45" s="66" t="s">
        <v>79</v>
      </c>
    </row>
    <row r="46" spans="1:18" ht="15.75" customHeight="1">
      <c r="A46" s="65" t="s">
        <v>80</v>
      </c>
      <c r="B46" s="89">
        <f>_xlfn.COMPOUNDVALUE(385)</f>
        <v>6893</v>
      </c>
      <c r="C46" s="90">
        <v>29081799</v>
      </c>
      <c r="D46" s="89">
        <f>_xlfn.COMPOUNDVALUE(386)</f>
        <v>5709</v>
      </c>
      <c r="E46" s="90">
        <v>2918997</v>
      </c>
      <c r="F46" s="89">
        <f>_xlfn.COMPOUNDVALUE(387)</f>
        <v>12602</v>
      </c>
      <c r="G46" s="90">
        <v>32000796</v>
      </c>
      <c r="H46" s="89">
        <f>_xlfn.COMPOUNDVALUE(388)</f>
        <v>575</v>
      </c>
      <c r="I46" s="91">
        <v>2048869</v>
      </c>
      <c r="J46" s="89">
        <v>1026</v>
      </c>
      <c r="K46" s="91">
        <v>200720</v>
      </c>
      <c r="L46" s="89">
        <v>13496</v>
      </c>
      <c r="M46" s="91">
        <v>30152647</v>
      </c>
      <c r="N46" s="86">
        <v>13758</v>
      </c>
      <c r="O46" s="104">
        <v>400</v>
      </c>
      <c r="P46" s="104">
        <v>31</v>
      </c>
      <c r="Q46" s="105">
        <v>14189</v>
      </c>
      <c r="R46" s="66" t="s">
        <v>80</v>
      </c>
    </row>
    <row r="47" spans="1:18" ht="15.75" customHeight="1">
      <c r="A47" s="65" t="s">
        <v>81</v>
      </c>
      <c r="B47" s="89">
        <f>_xlfn.COMPOUNDVALUE(389)</f>
        <v>1531</v>
      </c>
      <c r="C47" s="90">
        <v>11711148</v>
      </c>
      <c r="D47" s="89">
        <f>_xlfn.COMPOUNDVALUE(390)</f>
        <v>1227</v>
      </c>
      <c r="E47" s="90">
        <v>555321</v>
      </c>
      <c r="F47" s="89">
        <f>_xlfn.COMPOUNDVALUE(391)</f>
        <v>2758</v>
      </c>
      <c r="G47" s="90">
        <v>12266469</v>
      </c>
      <c r="H47" s="89">
        <f>_xlfn.COMPOUNDVALUE(392)</f>
        <v>119</v>
      </c>
      <c r="I47" s="91">
        <v>680426</v>
      </c>
      <c r="J47" s="89">
        <v>175</v>
      </c>
      <c r="K47" s="91">
        <v>43134</v>
      </c>
      <c r="L47" s="89">
        <v>2936</v>
      </c>
      <c r="M47" s="91">
        <v>11629177</v>
      </c>
      <c r="N47" s="86">
        <v>2987</v>
      </c>
      <c r="O47" s="104">
        <v>110</v>
      </c>
      <c r="P47" s="104">
        <v>7</v>
      </c>
      <c r="Q47" s="105">
        <v>3104</v>
      </c>
      <c r="R47" s="66" t="s">
        <v>81</v>
      </c>
    </row>
    <row r="48" spans="1:18" ht="15.75" customHeight="1">
      <c r="A48" s="65" t="s">
        <v>82</v>
      </c>
      <c r="B48" s="89">
        <f>_xlfn.COMPOUNDVALUE(393)</f>
        <v>2291</v>
      </c>
      <c r="C48" s="90">
        <v>10813113</v>
      </c>
      <c r="D48" s="89">
        <f>_xlfn.COMPOUNDVALUE(394)</f>
        <v>1738</v>
      </c>
      <c r="E48" s="90">
        <v>809526</v>
      </c>
      <c r="F48" s="89">
        <f>_xlfn.COMPOUNDVALUE(395)</f>
        <v>4029</v>
      </c>
      <c r="G48" s="90">
        <v>11622638</v>
      </c>
      <c r="H48" s="89">
        <f>_xlfn.COMPOUNDVALUE(396)</f>
        <v>165</v>
      </c>
      <c r="I48" s="91">
        <v>1003656</v>
      </c>
      <c r="J48" s="89">
        <v>364</v>
      </c>
      <c r="K48" s="91">
        <v>43424</v>
      </c>
      <c r="L48" s="89">
        <v>4274</v>
      </c>
      <c r="M48" s="91">
        <v>10662406</v>
      </c>
      <c r="N48" s="86">
        <v>4398</v>
      </c>
      <c r="O48" s="104">
        <v>128</v>
      </c>
      <c r="P48" s="104">
        <v>10</v>
      </c>
      <c r="Q48" s="105">
        <v>4536</v>
      </c>
      <c r="R48" s="66" t="s">
        <v>82</v>
      </c>
    </row>
    <row r="49" spans="1:18" ht="15.75" customHeight="1">
      <c r="A49" s="65" t="s">
        <v>83</v>
      </c>
      <c r="B49" s="89">
        <f>_xlfn.COMPOUNDVALUE(397)</f>
        <v>7462</v>
      </c>
      <c r="C49" s="90">
        <v>29144611</v>
      </c>
      <c r="D49" s="89">
        <f>_xlfn.COMPOUNDVALUE(398)</f>
        <v>5722</v>
      </c>
      <c r="E49" s="90">
        <v>2840684</v>
      </c>
      <c r="F49" s="89">
        <f>_xlfn.COMPOUNDVALUE(399)</f>
        <v>13184</v>
      </c>
      <c r="G49" s="90">
        <v>31985295</v>
      </c>
      <c r="H49" s="89">
        <f>_xlfn.COMPOUNDVALUE(400)</f>
        <v>736</v>
      </c>
      <c r="I49" s="91">
        <v>4129855</v>
      </c>
      <c r="J49" s="89">
        <v>1021</v>
      </c>
      <c r="K49" s="91">
        <v>236225</v>
      </c>
      <c r="L49" s="89">
        <v>14336</v>
      </c>
      <c r="M49" s="91">
        <v>28091665</v>
      </c>
      <c r="N49" s="86">
        <v>13993</v>
      </c>
      <c r="O49" s="104">
        <v>524</v>
      </c>
      <c r="P49" s="104">
        <v>30</v>
      </c>
      <c r="Q49" s="105">
        <v>14547</v>
      </c>
      <c r="R49" s="66" t="s">
        <v>83</v>
      </c>
    </row>
    <row r="50" spans="1:18" ht="15.75" customHeight="1">
      <c r="A50" s="65" t="s">
        <v>84</v>
      </c>
      <c r="B50" s="89">
        <f>_xlfn.COMPOUNDVALUE(401)</f>
        <v>4614</v>
      </c>
      <c r="C50" s="90">
        <v>26322096</v>
      </c>
      <c r="D50" s="89">
        <f>_xlfn.COMPOUNDVALUE(402)</f>
        <v>3656</v>
      </c>
      <c r="E50" s="90">
        <v>1823615</v>
      </c>
      <c r="F50" s="89">
        <f>_xlfn.COMPOUNDVALUE(403)</f>
        <v>8270</v>
      </c>
      <c r="G50" s="90">
        <v>28145710</v>
      </c>
      <c r="H50" s="89">
        <f>_xlfn.COMPOUNDVALUE(404)</f>
        <v>352</v>
      </c>
      <c r="I50" s="91">
        <v>1025460</v>
      </c>
      <c r="J50" s="89">
        <v>779</v>
      </c>
      <c r="K50" s="91">
        <v>182086</v>
      </c>
      <c r="L50" s="89">
        <v>8917</v>
      </c>
      <c r="M50" s="91">
        <v>27302336</v>
      </c>
      <c r="N50" s="86">
        <v>8699</v>
      </c>
      <c r="O50" s="104">
        <v>250</v>
      </c>
      <c r="P50" s="104">
        <v>17</v>
      </c>
      <c r="Q50" s="105">
        <v>8966</v>
      </c>
      <c r="R50" s="66" t="s">
        <v>84</v>
      </c>
    </row>
    <row r="51" spans="1:18" ht="15.75" customHeight="1">
      <c r="A51" s="65" t="s">
        <v>85</v>
      </c>
      <c r="B51" s="89">
        <f>_xlfn.COMPOUNDVALUE(405)</f>
        <v>8601</v>
      </c>
      <c r="C51" s="90">
        <v>37260187</v>
      </c>
      <c r="D51" s="89">
        <f>_xlfn.COMPOUNDVALUE(406)</f>
        <v>6158</v>
      </c>
      <c r="E51" s="90">
        <v>3296904</v>
      </c>
      <c r="F51" s="89">
        <f>_xlfn.COMPOUNDVALUE(407)</f>
        <v>14759</v>
      </c>
      <c r="G51" s="90">
        <v>40557091</v>
      </c>
      <c r="H51" s="89">
        <f>_xlfn.COMPOUNDVALUE(408)</f>
        <v>777</v>
      </c>
      <c r="I51" s="91">
        <v>2787440</v>
      </c>
      <c r="J51" s="89">
        <v>1096</v>
      </c>
      <c r="K51" s="91">
        <v>275878</v>
      </c>
      <c r="L51" s="89">
        <v>15979</v>
      </c>
      <c r="M51" s="91">
        <v>38045529</v>
      </c>
      <c r="N51" s="86">
        <v>16137</v>
      </c>
      <c r="O51" s="104">
        <v>498</v>
      </c>
      <c r="P51" s="104">
        <v>37</v>
      </c>
      <c r="Q51" s="105">
        <v>16672</v>
      </c>
      <c r="R51" s="66" t="s">
        <v>85</v>
      </c>
    </row>
    <row r="52" spans="1:18" ht="15.75" customHeight="1">
      <c r="A52" s="65" t="s">
        <v>86</v>
      </c>
      <c r="B52" s="89">
        <f>_xlfn.COMPOUNDVALUE(409)</f>
        <v>4897</v>
      </c>
      <c r="C52" s="90">
        <v>43979202</v>
      </c>
      <c r="D52" s="89">
        <f>_xlfn.COMPOUNDVALUE(410)</f>
        <v>3834</v>
      </c>
      <c r="E52" s="90">
        <v>2136416</v>
      </c>
      <c r="F52" s="89">
        <f>_xlfn.COMPOUNDVALUE(411)</f>
        <v>8731</v>
      </c>
      <c r="G52" s="90">
        <v>46115619</v>
      </c>
      <c r="H52" s="89">
        <f>_xlfn.COMPOUNDVALUE(412)</f>
        <v>457</v>
      </c>
      <c r="I52" s="91">
        <v>4031133</v>
      </c>
      <c r="J52" s="89">
        <v>658</v>
      </c>
      <c r="K52" s="91">
        <v>129730</v>
      </c>
      <c r="L52" s="89">
        <v>9437</v>
      </c>
      <c r="M52" s="91">
        <v>42214216</v>
      </c>
      <c r="N52" s="86">
        <v>9757</v>
      </c>
      <c r="O52" s="104">
        <v>380</v>
      </c>
      <c r="P52" s="104">
        <v>17</v>
      </c>
      <c r="Q52" s="105">
        <v>10154</v>
      </c>
      <c r="R52" s="66" t="s">
        <v>86</v>
      </c>
    </row>
    <row r="53" spans="1:18" ht="15.75" customHeight="1">
      <c r="A53" s="67" t="s">
        <v>87</v>
      </c>
      <c r="B53" s="92">
        <v>80478</v>
      </c>
      <c r="C53" s="93">
        <v>435524100</v>
      </c>
      <c r="D53" s="92">
        <v>60560</v>
      </c>
      <c r="E53" s="93">
        <v>31829812</v>
      </c>
      <c r="F53" s="92">
        <v>141038</v>
      </c>
      <c r="G53" s="93">
        <v>467353912</v>
      </c>
      <c r="H53" s="92">
        <v>7265</v>
      </c>
      <c r="I53" s="94">
        <v>35353883</v>
      </c>
      <c r="J53" s="92">
        <v>11016</v>
      </c>
      <c r="K53" s="94">
        <v>2650193</v>
      </c>
      <c r="L53" s="92">
        <v>151994</v>
      </c>
      <c r="M53" s="94">
        <v>434650222</v>
      </c>
      <c r="N53" s="92">
        <v>153394</v>
      </c>
      <c r="O53" s="106">
        <v>5140</v>
      </c>
      <c r="P53" s="106">
        <v>408</v>
      </c>
      <c r="Q53" s="107">
        <v>158942</v>
      </c>
      <c r="R53" s="68" t="s">
        <v>88</v>
      </c>
    </row>
    <row r="54" spans="1:18" ht="15.75" customHeight="1">
      <c r="A54" s="69"/>
      <c r="B54" s="95"/>
      <c r="C54" s="96"/>
      <c r="D54" s="95"/>
      <c r="E54" s="96"/>
      <c r="F54" s="97"/>
      <c r="G54" s="96"/>
      <c r="H54" s="97"/>
      <c r="I54" s="96"/>
      <c r="J54" s="97"/>
      <c r="K54" s="96"/>
      <c r="L54" s="97"/>
      <c r="M54" s="96"/>
      <c r="N54" s="108"/>
      <c r="O54" s="109"/>
      <c r="P54" s="109"/>
      <c r="Q54" s="110"/>
      <c r="R54" s="83" t="s">
        <v>131</v>
      </c>
    </row>
    <row r="55" spans="1:18" ht="15.75" customHeight="1">
      <c r="A55" s="62" t="s">
        <v>89</v>
      </c>
      <c r="B55" s="86">
        <f>_xlfn.COMPOUNDVALUE(413)</f>
        <v>8334</v>
      </c>
      <c r="C55" s="87">
        <v>71162924</v>
      </c>
      <c r="D55" s="86">
        <f>_xlfn.COMPOUNDVALUE(414)</f>
        <v>5731</v>
      </c>
      <c r="E55" s="87">
        <v>2857638</v>
      </c>
      <c r="F55" s="86">
        <f>_xlfn.COMPOUNDVALUE(415)</f>
        <v>14065</v>
      </c>
      <c r="G55" s="87">
        <v>74020562</v>
      </c>
      <c r="H55" s="86">
        <f>_xlfn.COMPOUNDVALUE(416)</f>
        <v>682</v>
      </c>
      <c r="I55" s="88">
        <v>3457693</v>
      </c>
      <c r="J55" s="86">
        <v>1193</v>
      </c>
      <c r="K55" s="88">
        <v>355310</v>
      </c>
      <c r="L55" s="86">
        <v>15077</v>
      </c>
      <c r="M55" s="88">
        <v>70918179</v>
      </c>
      <c r="N55" s="86">
        <v>14470</v>
      </c>
      <c r="O55" s="104">
        <v>412</v>
      </c>
      <c r="P55" s="104">
        <v>55</v>
      </c>
      <c r="Q55" s="105">
        <v>14937</v>
      </c>
      <c r="R55" s="66" t="s">
        <v>89</v>
      </c>
    </row>
    <row r="56" spans="1:18" ht="15.75" customHeight="1">
      <c r="A56" s="62" t="s">
        <v>90</v>
      </c>
      <c r="B56" s="86">
        <f>_xlfn.COMPOUNDVALUE(417)</f>
        <v>1356</v>
      </c>
      <c r="C56" s="87">
        <v>4853481</v>
      </c>
      <c r="D56" s="86">
        <f>_xlfn.COMPOUNDVALUE(418)</f>
        <v>1089</v>
      </c>
      <c r="E56" s="87">
        <v>476033</v>
      </c>
      <c r="F56" s="86">
        <f>_xlfn.COMPOUNDVALUE(419)</f>
        <v>2445</v>
      </c>
      <c r="G56" s="87">
        <v>5329514</v>
      </c>
      <c r="H56" s="86">
        <f>_xlfn.COMPOUNDVALUE(420)</f>
        <v>67</v>
      </c>
      <c r="I56" s="88">
        <v>122440</v>
      </c>
      <c r="J56" s="86">
        <v>239</v>
      </c>
      <c r="K56" s="88">
        <v>16469</v>
      </c>
      <c r="L56" s="86">
        <v>2560</v>
      </c>
      <c r="M56" s="88">
        <v>5223543</v>
      </c>
      <c r="N56" s="86">
        <v>2466</v>
      </c>
      <c r="O56" s="104">
        <v>28</v>
      </c>
      <c r="P56" s="104">
        <v>3</v>
      </c>
      <c r="Q56" s="105">
        <v>2497</v>
      </c>
      <c r="R56" s="66" t="s">
        <v>90</v>
      </c>
    </row>
    <row r="57" spans="1:18" ht="15.75" customHeight="1">
      <c r="A57" s="62" t="s">
        <v>91</v>
      </c>
      <c r="B57" s="86">
        <f>_xlfn.COMPOUNDVALUE(421)</f>
        <v>2358</v>
      </c>
      <c r="C57" s="87">
        <v>11165015</v>
      </c>
      <c r="D57" s="86">
        <f>_xlfn.COMPOUNDVALUE(422)</f>
        <v>1766</v>
      </c>
      <c r="E57" s="87">
        <v>771238</v>
      </c>
      <c r="F57" s="86">
        <f>_xlfn.COMPOUNDVALUE(423)</f>
        <v>4124</v>
      </c>
      <c r="G57" s="87">
        <v>11936253</v>
      </c>
      <c r="H57" s="86">
        <f>_xlfn.COMPOUNDVALUE(424)</f>
        <v>155</v>
      </c>
      <c r="I57" s="88">
        <v>781411</v>
      </c>
      <c r="J57" s="86">
        <v>329</v>
      </c>
      <c r="K57" s="88">
        <v>82697</v>
      </c>
      <c r="L57" s="86">
        <v>4340</v>
      </c>
      <c r="M57" s="88">
        <v>11237539</v>
      </c>
      <c r="N57" s="86">
        <v>4262</v>
      </c>
      <c r="O57" s="104">
        <v>75</v>
      </c>
      <c r="P57" s="104">
        <v>4</v>
      </c>
      <c r="Q57" s="105">
        <v>4341</v>
      </c>
      <c r="R57" s="66" t="s">
        <v>91</v>
      </c>
    </row>
    <row r="58" spans="1:18" ht="15.75" customHeight="1">
      <c r="A58" s="62" t="s">
        <v>92</v>
      </c>
      <c r="B58" s="86">
        <f>_xlfn.COMPOUNDVALUE(425)</f>
        <v>3562</v>
      </c>
      <c r="C58" s="87">
        <v>21892768</v>
      </c>
      <c r="D58" s="86">
        <f>_xlfn.COMPOUNDVALUE(426)</f>
        <v>2424</v>
      </c>
      <c r="E58" s="87">
        <v>1169037</v>
      </c>
      <c r="F58" s="86">
        <f>_xlfn.COMPOUNDVALUE(427)</f>
        <v>5986</v>
      </c>
      <c r="G58" s="87">
        <v>23061804</v>
      </c>
      <c r="H58" s="86">
        <f>_xlfn.COMPOUNDVALUE(428)</f>
        <v>176</v>
      </c>
      <c r="I58" s="88">
        <v>3132762</v>
      </c>
      <c r="J58" s="86">
        <v>436</v>
      </c>
      <c r="K58" s="88">
        <v>39969</v>
      </c>
      <c r="L58" s="86">
        <v>6252</v>
      </c>
      <c r="M58" s="88">
        <v>19969011</v>
      </c>
      <c r="N58" s="86">
        <v>6079</v>
      </c>
      <c r="O58" s="104">
        <v>111</v>
      </c>
      <c r="P58" s="104">
        <v>13</v>
      </c>
      <c r="Q58" s="105">
        <v>6203</v>
      </c>
      <c r="R58" s="66" t="s">
        <v>92</v>
      </c>
    </row>
    <row r="59" spans="1:18" ht="15.75" customHeight="1">
      <c r="A59" s="62" t="s">
        <v>93</v>
      </c>
      <c r="B59" s="86">
        <f>_xlfn.COMPOUNDVALUE(429)</f>
        <v>2658</v>
      </c>
      <c r="C59" s="87">
        <v>16455761</v>
      </c>
      <c r="D59" s="86">
        <f>_xlfn.COMPOUNDVALUE(430)</f>
        <v>1891</v>
      </c>
      <c r="E59" s="87">
        <v>835352</v>
      </c>
      <c r="F59" s="86">
        <f>_xlfn.COMPOUNDVALUE(431)</f>
        <v>4549</v>
      </c>
      <c r="G59" s="87">
        <v>17291113</v>
      </c>
      <c r="H59" s="86">
        <f>_xlfn.COMPOUNDVALUE(432)</f>
        <v>171</v>
      </c>
      <c r="I59" s="88">
        <v>4720343</v>
      </c>
      <c r="J59" s="86">
        <v>285</v>
      </c>
      <c r="K59" s="88">
        <v>30634</v>
      </c>
      <c r="L59" s="86">
        <v>4774</v>
      </c>
      <c r="M59" s="88">
        <v>12601404</v>
      </c>
      <c r="N59" s="86">
        <v>4681</v>
      </c>
      <c r="O59" s="104">
        <v>92</v>
      </c>
      <c r="P59" s="104">
        <v>11</v>
      </c>
      <c r="Q59" s="105">
        <v>4784</v>
      </c>
      <c r="R59" s="66" t="s">
        <v>93</v>
      </c>
    </row>
    <row r="60" spans="1:18" ht="15.75" customHeight="1">
      <c r="A60" s="62" t="s">
        <v>94</v>
      </c>
      <c r="B60" s="86">
        <f>_xlfn.COMPOUNDVALUE(433)</f>
        <v>994</v>
      </c>
      <c r="C60" s="87">
        <v>6585233</v>
      </c>
      <c r="D60" s="86">
        <f>_xlfn.COMPOUNDVALUE(434)</f>
        <v>720</v>
      </c>
      <c r="E60" s="87">
        <v>347244</v>
      </c>
      <c r="F60" s="86">
        <f>_xlfn.COMPOUNDVALUE(435)</f>
        <v>1714</v>
      </c>
      <c r="G60" s="87">
        <v>6932476</v>
      </c>
      <c r="H60" s="86">
        <f>_xlfn.COMPOUNDVALUE(436)</f>
        <v>51</v>
      </c>
      <c r="I60" s="88">
        <v>165516</v>
      </c>
      <c r="J60" s="86">
        <v>159</v>
      </c>
      <c r="K60" s="88">
        <v>15205</v>
      </c>
      <c r="L60" s="86">
        <v>1784</v>
      </c>
      <c r="M60" s="88">
        <v>6782165</v>
      </c>
      <c r="N60" s="86">
        <v>1803</v>
      </c>
      <c r="O60" s="104">
        <v>43</v>
      </c>
      <c r="P60" s="104">
        <v>2</v>
      </c>
      <c r="Q60" s="105">
        <v>1848</v>
      </c>
      <c r="R60" s="66" t="s">
        <v>94</v>
      </c>
    </row>
    <row r="61" spans="1:18" ht="15.75" customHeight="1">
      <c r="A61" s="65" t="s">
        <v>95</v>
      </c>
      <c r="B61" s="89">
        <f>_xlfn.COMPOUNDVALUE(437)</f>
        <v>2050</v>
      </c>
      <c r="C61" s="90">
        <v>10077635</v>
      </c>
      <c r="D61" s="89">
        <f>_xlfn.COMPOUNDVALUE(438)</f>
        <v>1794</v>
      </c>
      <c r="E61" s="90">
        <v>783729</v>
      </c>
      <c r="F61" s="89">
        <f>_xlfn.COMPOUNDVALUE(439)</f>
        <v>3844</v>
      </c>
      <c r="G61" s="90">
        <v>10861364</v>
      </c>
      <c r="H61" s="89">
        <f>_xlfn.COMPOUNDVALUE(440)</f>
        <v>212</v>
      </c>
      <c r="I61" s="91">
        <v>1011271</v>
      </c>
      <c r="J61" s="89">
        <v>282</v>
      </c>
      <c r="K61" s="91">
        <v>49347</v>
      </c>
      <c r="L61" s="89">
        <v>4111</v>
      </c>
      <c r="M61" s="91">
        <v>9899440</v>
      </c>
      <c r="N61" s="86">
        <v>4567</v>
      </c>
      <c r="O61" s="104">
        <v>118</v>
      </c>
      <c r="P61" s="104">
        <v>7</v>
      </c>
      <c r="Q61" s="105">
        <v>4692</v>
      </c>
      <c r="R61" s="66" t="s">
        <v>95</v>
      </c>
    </row>
    <row r="62" spans="1:18" ht="15.75" customHeight="1">
      <c r="A62" s="65" t="s">
        <v>96</v>
      </c>
      <c r="B62" s="89">
        <f>_xlfn.COMPOUNDVALUE(441)</f>
        <v>2186</v>
      </c>
      <c r="C62" s="90">
        <v>9665593</v>
      </c>
      <c r="D62" s="89">
        <f>_xlfn.COMPOUNDVALUE(442)</f>
        <v>1651</v>
      </c>
      <c r="E62" s="90">
        <v>754456</v>
      </c>
      <c r="F62" s="89">
        <f>_xlfn.COMPOUNDVALUE(443)</f>
        <v>3837</v>
      </c>
      <c r="G62" s="90">
        <v>10420049</v>
      </c>
      <c r="H62" s="89">
        <f>_xlfn.COMPOUNDVALUE(444)</f>
        <v>119</v>
      </c>
      <c r="I62" s="91">
        <v>1932537</v>
      </c>
      <c r="J62" s="89">
        <v>359</v>
      </c>
      <c r="K62" s="91">
        <v>36327</v>
      </c>
      <c r="L62" s="89">
        <v>4032</v>
      </c>
      <c r="M62" s="91">
        <v>8523839</v>
      </c>
      <c r="N62" s="86">
        <v>3786</v>
      </c>
      <c r="O62" s="104">
        <v>88</v>
      </c>
      <c r="P62" s="104">
        <v>7</v>
      </c>
      <c r="Q62" s="105">
        <v>3881</v>
      </c>
      <c r="R62" s="66" t="s">
        <v>96</v>
      </c>
    </row>
    <row r="63" spans="1:18" ht="15.75" customHeight="1">
      <c r="A63" s="65" t="s">
        <v>97</v>
      </c>
      <c r="B63" s="89">
        <f>_xlfn.COMPOUNDVALUE(445)</f>
        <v>928</v>
      </c>
      <c r="C63" s="90">
        <v>3783516</v>
      </c>
      <c r="D63" s="89">
        <f>_xlfn.COMPOUNDVALUE(446)</f>
        <v>770</v>
      </c>
      <c r="E63" s="90">
        <v>332468</v>
      </c>
      <c r="F63" s="89">
        <f>_xlfn.COMPOUNDVALUE(447)</f>
        <v>1698</v>
      </c>
      <c r="G63" s="90">
        <v>4115985</v>
      </c>
      <c r="H63" s="89">
        <f>_xlfn.COMPOUNDVALUE(448)</f>
        <v>52</v>
      </c>
      <c r="I63" s="91">
        <v>79139</v>
      </c>
      <c r="J63" s="89">
        <v>139</v>
      </c>
      <c r="K63" s="91">
        <v>5292</v>
      </c>
      <c r="L63" s="89">
        <v>1759</v>
      </c>
      <c r="M63" s="91">
        <v>4042138</v>
      </c>
      <c r="N63" s="86">
        <v>1634</v>
      </c>
      <c r="O63" s="104">
        <v>50</v>
      </c>
      <c r="P63" s="104">
        <v>2</v>
      </c>
      <c r="Q63" s="105">
        <v>1686</v>
      </c>
      <c r="R63" s="66" t="s">
        <v>97</v>
      </c>
    </row>
    <row r="64" spans="1:18" ht="15.75" customHeight="1">
      <c r="A64" s="65" t="s">
        <v>98</v>
      </c>
      <c r="B64" s="89">
        <f>_xlfn.COMPOUNDVALUE(449)</f>
        <v>834</v>
      </c>
      <c r="C64" s="90">
        <v>3023513</v>
      </c>
      <c r="D64" s="89">
        <f>_xlfn.COMPOUNDVALUE(450)</f>
        <v>680</v>
      </c>
      <c r="E64" s="90">
        <v>294044</v>
      </c>
      <c r="F64" s="89">
        <f>_xlfn.COMPOUNDVALUE(451)</f>
        <v>1514</v>
      </c>
      <c r="G64" s="90">
        <v>3317557</v>
      </c>
      <c r="H64" s="89">
        <f>_xlfn.COMPOUNDVALUE(452)</f>
        <v>34</v>
      </c>
      <c r="I64" s="91">
        <v>42207</v>
      </c>
      <c r="J64" s="89">
        <v>144</v>
      </c>
      <c r="K64" s="91">
        <v>4568</v>
      </c>
      <c r="L64" s="89">
        <v>1563</v>
      </c>
      <c r="M64" s="91">
        <v>3279918</v>
      </c>
      <c r="N64" s="86">
        <v>1484</v>
      </c>
      <c r="O64" s="104">
        <v>42</v>
      </c>
      <c r="P64" s="104">
        <v>3</v>
      </c>
      <c r="Q64" s="105">
        <v>1529</v>
      </c>
      <c r="R64" s="66" t="s">
        <v>98</v>
      </c>
    </row>
    <row r="65" spans="1:18" ht="15.75" customHeight="1">
      <c r="A65" s="65" t="s">
        <v>99</v>
      </c>
      <c r="B65" s="89">
        <f>_xlfn.COMPOUNDVALUE(453)</f>
        <v>513</v>
      </c>
      <c r="C65" s="90">
        <v>2531567</v>
      </c>
      <c r="D65" s="89">
        <f>_xlfn.COMPOUNDVALUE(454)</f>
        <v>383</v>
      </c>
      <c r="E65" s="90">
        <v>186997</v>
      </c>
      <c r="F65" s="89">
        <f>_xlfn.COMPOUNDVALUE(455)</f>
        <v>896</v>
      </c>
      <c r="G65" s="90">
        <v>2718564</v>
      </c>
      <c r="H65" s="89">
        <f>_xlfn.COMPOUNDVALUE(456)</f>
        <v>28</v>
      </c>
      <c r="I65" s="91">
        <v>74469</v>
      </c>
      <c r="J65" s="89">
        <v>49</v>
      </c>
      <c r="K65" s="91">
        <v>4890</v>
      </c>
      <c r="L65" s="89">
        <v>940</v>
      </c>
      <c r="M65" s="91">
        <v>2648985</v>
      </c>
      <c r="N65" s="86">
        <v>929</v>
      </c>
      <c r="O65" s="104">
        <v>38</v>
      </c>
      <c r="P65" s="104">
        <v>5</v>
      </c>
      <c r="Q65" s="105">
        <v>972</v>
      </c>
      <c r="R65" s="66" t="s">
        <v>99</v>
      </c>
    </row>
    <row r="66" spans="1:18" ht="15.75" customHeight="1">
      <c r="A66" s="65" t="s">
        <v>100</v>
      </c>
      <c r="B66" s="89">
        <f>_xlfn.COMPOUNDVALUE(457)</f>
        <v>2681</v>
      </c>
      <c r="C66" s="90">
        <v>13348085</v>
      </c>
      <c r="D66" s="89">
        <f>_xlfn.COMPOUNDVALUE(458)</f>
        <v>1978</v>
      </c>
      <c r="E66" s="90">
        <v>968937</v>
      </c>
      <c r="F66" s="89">
        <f>_xlfn.COMPOUNDVALUE(459)</f>
        <v>4659</v>
      </c>
      <c r="G66" s="90">
        <v>14317022</v>
      </c>
      <c r="H66" s="89">
        <f>_xlfn.COMPOUNDVALUE(460)</f>
        <v>182</v>
      </c>
      <c r="I66" s="91">
        <v>1667676</v>
      </c>
      <c r="J66" s="89">
        <v>360</v>
      </c>
      <c r="K66" s="91">
        <v>105003</v>
      </c>
      <c r="L66" s="89">
        <v>4921</v>
      </c>
      <c r="M66" s="91">
        <v>12754349</v>
      </c>
      <c r="N66" s="86">
        <v>4849</v>
      </c>
      <c r="O66" s="104">
        <v>118</v>
      </c>
      <c r="P66" s="104">
        <v>8</v>
      </c>
      <c r="Q66" s="105">
        <v>4975</v>
      </c>
      <c r="R66" s="66" t="s">
        <v>100</v>
      </c>
    </row>
    <row r="67" spans="1:18" ht="15.75" customHeight="1">
      <c r="A67" s="65" t="s">
        <v>101</v>
      </c>
      <c r="B67" s="89">
        <f>_xlfn.COMPOUNDVALUE(461)</f>
        <v>727</v>
      </c>
      <c r="C67" s="90">
        <v>2211546</v>
      </c>
      <c r="D67" s="89">
        <f>_xlfn.COMPOUNDVALUE(462)</f>
        <v>533</v>
      </c>
      <c r="E67" s="90">
        <v>205260</v>
      </c>
      <c r="F67" s="89">
        <f>_xlfn.COMPOUNDVALUE(463)</f>
        <v>1260</v>
      </c>
      <c r="G67" s="90">
        <v>2416806</v>
      </c>
      <c r="H67" s="89">
        <f>_xlfn.COMPOUNDVALUE(464)</f>
        <v>57</v>
      </c>
      <c r="I67" s="91">
        <v>71946</v>
      </c>
      <c r="J67" s="89">
        <v>88</v>
      </c>
      <c r="K67" s="91">
        <v>13319</v>
      </c>
      <c r="L67" s="89">
        <v>1338</v>
      </c>
      <c r="M67" s="91">
        <v>2358179</v>
      </c>
      <c r="N67" s="86">
        <v>1272</v>
      </c>
      <c r="O67" s="104">
        <v>25</v>
      </c>
      <c r="P67" s="104">
        <v>3</v>
      </c>
      <c r="Q67" s="105">
        <v>1300</v>
      </c>
      <c r="R67" s="66" t="s">
        <v>102</v>
      </c>
    </row>
    <row r="68" spans="1:18" ht="15.75" customHeight="1">
      <c r="A68" s="67" t="s">
        <v>103</v>
      </c>
      <c r="B68" s="92">
        <v>29181</v>
      </c>
      <c r="C68" s="93">
        <v>176756636</v>
      </c>
      <c r="D68" s="92">
        <v>21410</v>
      </c>
      <c r="E68" s="93">
        <v>9982432</v>
      </c>
      <c r="F68" s="92">
        <v>50591</v>
      </c>
      <c r="G68" s="93">
        <v>186739068</v>
      </c>
      <c r="H68" s="92">
        <v>1986</v>
      </c>
      <c r="I68" s="94">
        <v>17259411</v>
      </c>
      <c r="J68" s="92">
        <v>4062</v>
      </c>
      <c r="K68" s="94">
        <v>759030</v>
      </c>
      <c r="L68" s="92">
        <v>53451</v>
      </c>
      <c r="M68" s="94">
        <v>170238687</v>
      </c>
      <c r="N68" s="92">
        <v>52282</v>
      </c>
      <c r="O68" s="106">
        <v>1240</v>
      </c>
      <c r="P68" s="106">
        <v>123</v>
      </c>
      <c r="Q68" s="107">
        <v>53645</v>
      </c>
      <c r="R68" s="68" t="s">
        <v>104</v>
      </c>
    </row>
    <row r="69" spans="1:18" ht="15.75" customHeight="1">
      <c r="A69" s="69"/>
      <c r="B69" s="95"/>
      <c r="C69" s="96"/>
      <c r="D69" s="95"/>
      <c r="E69" s="96"/>
      <c r="F69" s="97"/>
      <c r="G69" s="96"/>
      <c r="H69" s="97"/>
      <c r="I69" s="96"/>
      <c r="J69" s="97"/>
      <c r="K69" s="96"/>
      <c r="L69" s="97"/>
      <c r="M69" s="96"/>
      <c r="N69" s="108"/>
      <c r="O69" s="109"/>
      <c r="P69" s="109"/>
      <c r="Q69" s="110"/>
      <c r="R69" s="83" t="s">
        <v>131</v>
      </c>
    </row>
    <row r="70" spans="1:18" ht="15.75" customHeight="1">
      <c r="A70" s="62" t="s">
        <v>105</v>
      </c>
      <c r="B70" s="86">
        <f>_xlfn.COMPOUNDVALUE(465)</f>
        <v>6218</v>
      </c>
      <c r="C70" s="87">
        <v>43966267</v>
      </c>
      <c r="D70" s="86">
        <f>_xlfn.COMPOUNDVALUE(466)</f>
        <v>4068</v>
      </c>
      <c r="E70" s="87">
        <v>2022683</v>
      </c>
      <c r="F70" s="86">
        <f>_xlfn.COMPOUNDVALUE(467)</f>
        <v>10286</v>
      </c>
      <c r="G70" s="87">
        <v>45988949</v>
      </c>
      <c r="H70" s="86">
        <f>_xlfn.COMPOUNDVALUE(468)</f>
        <v>326</v>
      </c>
      <c r="I70" s="88">
        <v>9638159</v>
      </c>
      <c r="J70" s="86">
        <v>960</v>
      </c>
      <c r="K70" s="88">
        <v>146692</v>
      </c>
      <c r="L70" s="86">
        <v>10845</v>
      </c>
      <c r="M70" s="88">
        <v>36497482</v>
      </c>
      <c r="N70" s="86">
        <v>10784</v>
      </c>
      <c r="O70" s="104">
        <v>237</v>
      </c>
      <c r="P70" s="104">
        <v>46</v>
      </c>
      <c r="Q70" s="105">
        <v>11067</v>
      </c>
      <c r="R70" s="66" t="s">
        <v>105</v>
      </c>
    </row>
    <row r="71" spans="1:18" ht="15.75" customHeight="1">
      <c r="A71" s="62" t="s">
        <v>106</v>
      </c>
      <c r="B71" s="86">
        <f>_xlfn.COMPOUNDVALUE(469)</f>
        <v>5481</v>
      </c>
      <c r="C71" s="87">
        <v>30328864</v>
      </c>
      <c r="D71" s="86">
        <f>_xlfn.COMPOUNDVALUE(470)</f>
        <v>4127</v>
      </c>
      <c r="E71" s="87">
        <v>1943651</v>
      </c>
      <c r="F71" s="86">
        <f>_xlfn.COMPOUNDVALUE(471)</f>
        <v>9608</v>
      </c>
      <c r="G71" s="87">
        <v>32272516</v>
      </c>
      <c r="H71" s="86">
        <f>_xlfn.COMPOUNDVALUE(472)</f>
        <v>368</v>
      </c>
      <c r="I71" s="88">
        <v>833625</v>
      </c>
      <c r="J71" s="86">
        <v>704</v>
      </c>
      <c r="K71" s="88">
        <v>135756</v>
      </c>
      <c r="L71" s="86">
        <v>10176</v>
      </c>
      <c r="M71" s="88">
        <v>31574647</v>
      </c>
      <c r="N71" s="86">
        <v>9958</v>
      </c>
      <c r="O71" s="104">
        <v>279</v>
      </c>
      <c r="P71" s="104">
        <v>28</v>
      </c>
      <c r="Q71" s="105">
        <v>10265</v>
      </c>
      <c r="R71" s="66" t="s">
        <v>106</v>
      </c>
    </row>
    <row r="72" spans="1:18" ht="15.75" customHeight="1">
      <c r="A72" s="62" t="s">
        <v>107</v>
      </c>
      <c r="B72" s="86">
        <f>_xlfn.COMPOUNDVALUE(473)</f>
        <v>3419</v>
      </c>
      <c r="C72" s="87">
        <v>19770244</v>
      </c>
      <c r="D72" s="86">
        <f>_xlfn.COMPOUNDVALUE(474)</f>
        <v>2440</v>
      </c>
      <c r="E72" s="87">
        <v>1207300</v>
      </c>
      <c r="F72" s="86">
        <f>_xlfn.COMPOUNDVALUE(475)</f>
        <v>5859</v>
      </c>
      <c r="G72" s="87">
        <v>20977544</v>
      </c>
      <c r="H72" s="86">
        <f>_xlfn.COMPOUNDVALUE(476)</f>
        <v>242</v>
      </c>
      <c r="I72" s="88">
        <v>9091573</v>
      </c>
      <c r="J72" s="86">
        <v>471</v>
      </c>
      <c r="K72" s="88">
        <v>57216</v>
      </c>
      <c r="L72" s="86">
        <v>6187</v>
      </c>
      <c r="M72" s="88">
        <v>11943187</v>
      </c>
      <c r="N72" s="86">
        <v>6127</v>
      </c>
      <c r="O72" s="104">
        <v>125</v>
      </c>
      <c r="P72" s="104">
        <v>25</v>
      </c>
      <c r="Q72" s="105">
        <v>6277</v>
      </c>
      <c r="R72" s="66" t="s">
        <v>107</v>
      </c>
    </row>
    <row r="73" spans="1:18" ht="15.75" customHeight="1">
      <c r="A73" s="65" t="s">
        <v>108</v>
      </c>
      <c r="B73" s="89">
        <f>_xlfn.COMPOUNDVALUE(477)</f>
        <v>2286</v>
      </c>
      <c r="C73" s="90">
        <v>10464975</v>
      </c>
      <c r="D73" s="89">
        <f>_xlfn.COMPOUNDVALUE(478)</f>
        <v>1667</v>
      </c>
      <c r="E73" s="90">
        <v>758208</v>
      </c>
      <c r="F73" s="89">
        <f>_xlfn.COMPOUNDVALUE(479)</f>
        <v>3953</v>
      </c>
      <c r="G73" s="90">
        <v>11223183</v>
      </c>
      <c r="H73" s="89">
        <f>_xlfn.COMPOUNDVALUE(480)</f>
        <v>152</v>
      </c>
      <c r="I73" s="91">
        <v>812227</v>
      </c>
      <c r="J73" s="89">
        <v>326</v>
      </c>
      <c r="K73" s="91">
        <v>16744</v>
      </c>
      <c r="L73" s="89">
        <v>4160</v>
      </c>
      <c r="M73" s="91">
        <v>10427700</v>
      </c>
      <c r="N73" s="86">
        <v>4067</v>
      </c>
      <c r="O73" s="104">
        <v>129</v>
      </c>
      <c r="P73" s="104">
        <v>10</v>
      </c>
      <c r="Q73" s="105">
        <v>4206</v>
      </c>
      <c r="R73" s="66" t="s">
        <v>108</v>
      </c>
    </row>
    <row r="74" spans="1:18" ht="15.75" customHeight="1">
      <c r="A74" s="65" t="s">
        <v>109</v>
      </c>
      <c r="B74" s="89">
        <f>_xlfn.COMPOUNDVALUE(481)</f>
        <v>3072</v>
      </c>
      <c r="C74" s="90">
        <v>16638743</v>
      </c>
      <c r="D74" s="89">
        <f>_xlfn.COMPOUNDVALUE(482)</f>
        <v>2107</v>
      </c>
      <c r="E74" s="90">
        <v>1013280</v>
      </c>
      <c r="F74" s="89">
        <f>_xlfn.COMPOUNDVALUE(483)</f>
        <v>5179</v>
      </c>
      <c r="G74" s="90">
        <v>17652023</v>
      </c>
      <c r="H74" s="89">
        <f>_xlfn.COMPOUNDVALUE(484)</f>
        <v>246</v>
      </c>
      <c r="I74" s="91">
        <v>5514301</v>
      </c>
      <c r="J74" s="89">
        <v>380</v>
      </c>
      <c r="K74" s="91">
        <v>41181</v>
      </c>
      <c r="L74" s="89">
        <v>5519</v>
      </c>
      <c r="M74" s="91">
        <v>12178903</v>
      </c>
      <c r="N74" s="86">
        <v>5366</v>
      </c>
      <c r="O74" s="104">
        <v>145</v>
      </c>
      <c r="P74" s="104">
        <v>10</v>
      </c>
      <c r="Q74" s="105">
        <v>5521</v>
      </c>
      <c r="R74" s="66" t="s">
        <v>109</v>
      </c>
    </row>
    <row r="75" spans="1:18" ht="15.75" customHeight="1">
      <c r="A75" s="65" t="s">
        <v>110</v>
      </c>
      <c r="B75" s="89">
        <f>_xlfn.COMPOUNDVALUE(485)</f>
        <v>2262</v>
      </c>
      <c r="C75" s="90">
        <v>12813653</v>
      </c>
      <c r="D75" s="89">
        <f>_xlfn.COMPOUNDVALUE(486)</f>
        <v>1725</v>
      </c>
      <c r="E75" s="90">
        <v>832964</v>
      </c>
      <c r="F75" s="89">
        <f>_xlfn.COMPOUNDVALUE(487)</f>
        <v>3987</v>
      </c>
      <c r="G75" s="90">
        <v>13646618</v>
      </c>
      <c r="H75" s="89">
        <f>_xlfn.COMPOUNDVALUE(488)</f>
        <v>199</v>
      </c>
      <c r="I75" s="91">
        <v>2560538</v>
      </c>
      <c r="J75" s="89">
        <v>281</v>
      </c>
      <c r="K75" s="91">
        <v>6994</v>
      </c>
      <c r="L75" s="89">
        <v>4259</v>
      </c>
      <c r="M75" s="91">
        <v>11093074</v>
      </c>
      <c r="N75" s="86">
        <v>4180</v>
      </c>
      <c r="O75" s="104">
        <v>139</v>
      </c>
      <c r="P75" s="104">
        <v>7</v>
      </c>
      <c r="Q75" s="105">
        <v>4326</v>
      </c>
      <c r="R75" s="66" t="s">
        <v>110</v>
      </c>
    </row>
    <row r="76" spans="1:18" ht="15.75" customHeight="1">
      <c r="A76" s="65" t="s">
        <v>111</v>
      </c>
      <c r="B76" s="89">
        <f>_xlfn.COMPOUNDVALUE(489)</f>
        <v>1508</v>
      </c>
      <c r="C76" s="90">
        <v>4585976</v>
      </c>
      <c r="D76" s="89">
        <f>_xlfn.COMPOUNDVALUE(490)</f>
        <v>1319</v>
      </c>
      <c r="E76" s="90">
        <v>555564</v>
      </c>
      <c r="F76" s="89">
        <f>_xlfn.COMPOUNDVALUE(491)</f>
        <v>2827</v>
      </c>
      <c r="G76" s="90">
        <v>5141540</v>
      </c>
      <c r="H76" s="89">
        <f>_xlfn.COMPOUNDVALUE(492)</f>
        <v>92</v>
      </c>
      <c r="I76" s="91">
        <v>426764</v>
      </c>
      <c r="J76" s="89">
        <v>214</v>
      </c>
      <c r="K76" s="91">
        <v>26244</v>
      </c>
      <c r="L76" s="89">
        <v>2965</v>
      </c>
      <c r="M76" s="91">
        <v>4741020</v>
      </c>
      <c r="N76" s="86">
        <v>2791</v>
      </c>
      <c r="O76" s="104">
        <v>100</v>
      </c>
      <c r="P76" s="104">
        <v>8</v>
      </c>
      <c r="Q76" s="105">
        <v>2899</v>
      </c>
      <c r="R76" s="66" t="s">
        <v>111</v>
      </c>
    </row>
    <row r="77" spans="1:18" ht="15.75" customHeight="1">
      <c r="A77" s="65" t="s">
        <v>112</v>
      </c>
      <c r="B77" s="89">
        <f>_xlfn.COMPOUNDVALUE(493)</f>
        <v>934</v>
      </c>
      <c r="C77" s="90">
        <v>3105159</v>
      </c>
      <c r="D77" s="89">
        <f>_xlfn.COMPOUNDVALUE(494)</f>
        <v>640</v>
      </c>
      <c r="E77" s="90">
        <v>286877</v>
      </c>
      <c r="F77" s="89">
        <f>_xlfn.COMPOUNDVALUE(495)</f>
        <v>1574</v>
      </c>
      <c r="G77" s="90">
        <v>3392035</v>
      </c>
      <c r="H77" s="89">
        <f>_xlfn.COMPOUNDVALUE(496)</f>
        <v>73</v>
      </c>
      <c r="I77" s="91">
        <v>115074</v>
      </c>
      <c r="J77" s="89">
        <v>99</v>
      </c>
      <c r="K77" s="91">
        <v>6694</v>
      </c>
      <c r="L77" s="89">
        <v>1676</v>
      </c>
      <c r="M77" s="91">
        <v>3283655</v>
      </c>
      <c r="N77" s="86">
        <v>1615</v>
      </c>
      <c r="O77" s="104">
        <v>58</v>
      </c>
      <c r="P77" s="104">
        <v>10</v>
      </c>
      <c r="Q77" s="105">
        <v>1683</v>
      </c>
      <c r="R77" s="66" t="s">
        <v>112</v>
      </c>
    </row>
    <row r="78" spans="1:18" ht="15.75" customHeight="1">
      <c r="A78" s="65" t="s">
        <v>113</v>
      </c>
      <c r="B78" s="89">
        <f>_xlfn.COMPOUNDVALUE(497)</f>
        <v>3068</v>
      </c>
      <c r="C78" s="90">
        <v>12614320</v>
      </c>
      <c r="D78" s="89">
        <f>_xlfn.COMPOUNDVALUE(498)</f>
        <v>2739</v>
      </c>
      <c r="E78" s="90">
        <v>1367554</v>
      </c>
      <c r="F78" s="89">
        <f>_xlfn.COMPOUNDVALUE(499)</f>
        <v>5807</v>
      </c>
      <c r="G78" s="90">
        <v>13981874</v>
      </c>
      <c r="H78" s="89">
        <f>_xlfn.COMPOUNDVALUE(500)</f>
        <v>238</v>
      </c>
      <c r="I78" s="91">
        <v>5925699</v>
      </c>
      <c r="J78" s="89">
        <v>281</v>
      </c>
      <c r="K78" s="91">
        <v>33715</v>
      </c>
      <c r="L78" s="89">
        <v>6122</v>
      </c>
      <c r="M78" s="91">
        <v>8089890</v>
      </c>
      <c r="N78" s="86">
        <v>5938</v>
      </c>
      <c r="O78" s="104">
        <v>185</v>
      </c>
      <c r="P78" s="104">
        <v>7</v>
      </c>
      <c r="Q78" s="105">
        <v>6130</v>
      </c>
      <c r="R78" s="66" t="s">
        <v>113</v>
      </c>
    </row>
    <row r="79" spans="1:18" ht="15.75" customHeight="1">
      <c r="A79" s="65" t="s">
        <v>114</v>
      </c>
      <c r="B79" s="89">
        <f>_xlfn.COMPOUNDVALUE(501)</f>
        <v>425</v>
      </c>
      <c r="C79" s="90">
        <v>1546557</v>
      </c>
      <c r="D79" s="89">
        <f>_xlfn.COMPOUNDVALUE(502)</f>
        <v>318</v>
      </c>
      <c r="E79" s="90">
        <v>147688</v>
      </c>
      <c r="F79" s="89">
        <f>_xlfn.COMPOUNDVALUE(503)</f>
        <v>743</v>
      </c>
      <c r="G79" s="90">
        <v>1694246</v>
      </c>
      <c r="H79" s="89">
        <f>_xlfn.COMPOUNDVALUE(504)</f>
        <v>22</v>
      </c>
      <c r="I79" s="91">
        <v>12260</v>
      </c>
      <c r="J79" s="89">
        <v>56</v>
      </c>
      <c r="K79" s="91">
        <v>2686</v>
      </c>
      <c r="L79" s="89">
        <v>772</v>
      </c>
      <c r="M79" s="91">
        <v>1684672</v>
      </c>
      <c r="N79" s="86">
        <v>825</v>
      </c>
      <c r="O79" s="104">
        <v>25</v>
      </c>
      <c r="P79" s="178" t="s">
        <v>169</v>
      </c>
      <c r="Q79" s="105">
        <v>850</v>
      </c>
      <c r="R79" s="66" t="s">
        <v>114</v>
      </c>
    </row>
    <row r="80" spans="1:18" ht="15.75" customHeight="1">
      <c r="A80" s="67" t="s">
        <v>115</v>
      </c>
      <c r="B80" s="92">
        <v>28673</v>
      </c>
      <c r="C80" s="93">
        <v>155834759</v>
      </c>
      <c r="D80" s="92">
        <v>21150</v>
      </c>
      <c r="E80" s="93">
        <v>10135769</v>
      </c>
      <c r="F80" s="92">
        <v>49823</v>
      </c>
      <c r="G80" s="93">
        <v>165970527</v>
      </c>
      <c r="H80" s="92">
        <v>1958</v>
      </c>
      <c r="I80" s="94">
        <v>34930220</v>
      </c>
      <c r="J80" s="92">
        <v>3772</v>
      </c>
      <c r="K80" s="94">
        <v>473922</v>
      </c>
      <c r="L80" s="92">
        <v>52681</v>
      </c>
      <c r="M80" s="94">
        <v>131514229</v>
      </c>
      <c r="N80" s="92">
        <v>51651</v>
      </c>
      <c r="O80" s="106">
        <v>1422</v>
      </c>
      <c r="P80" s="106">
        <v>151</v>
      </c>
      <c r="Q80" s="107">
        <v>53224</v>
      </c>
      <c r="R80" s="68" t="s">
        <v>116</v>
      </c>
    </row>
    <row r="81" spans="1:18" ht="15.75" customHeight="1" thickBot="1">
      <c r="A81" s="72"/>
      <c r="B81" s="98"/>
      <c r="C81" s="99"/>
      <c r="D81" s="98"/>
      <c r="E81" s="99"/>
      <c r="F81" s="100"/>
      <c r="G81" s="99"/>
      <c r="H81" s="100"/>
      <c r="I81" s="99"/>
      <c r="J81" s="100"/>
      <c r="K81" s="99"/>
      <c r="L81" s="100"/>
      <c r="M81" s="99"/>
      <c r="N81" s="111"/>
      <c r="O81" s="112"/>
      <c r="P81" s="112"/>
      <c r="Q81" s="113"/>
      <c r="R81" s="84" t="s">
        <v>131</v>
      </c>
    </row>
    <row r="82" spans="1:18" ht="15.75" customHeight="1" thickBot="1" thickTop="1">
      <c r="A82" s="75" t="s">
        <v>118</v>
      </c>
      <c r="B82" s="101">
        <v>226593</v>
      </c>
      <c r="C82" s="117">
        <v>1237819683</v>
      </c>
      <c r="D82" s="101">
        <v>169654</v>
      </c>
      <c r="E82" s="102">
        <v>84375308</v>
      </c>
      <c r="F82" s="101">
        <v>396247</v>
      </c>
      <c r="G82" s="102">
        <v>1322194991</v>
      </c>
      <c r="H82" s="101">
        <v>17665</v>
      </c>
      <c r="I82" s="103">
        <v>135517947</v>
      </c>
      <c r="J82" s="101">
        <v>30925</v>
      </c>
      <c r="K82" s="103">
        <v>6504179</v>
      </c>
      <c r="L82" s="101">
        <v>422863</v>
      </c>
      <c r="M82" s="103">
        <v>1193181223</v>
      </c>
      <c r="N82" s="114">
        <v>421833</v>
      </c>
      <c r="O82" s="115">
        <v>13133</v>
      </c>
      <c r="P82" s="115">
        <v>1092</v>
      </c>
      <c r="Q82" s="116">
        <v>436058</v>
      </c>
      <c r="R82" s="85" t="s">
        <v>118</v>
      </c>
    </row>
    <row r="83" spans="1:11" ht="15" customHeight="1">
      <c r="A83" s="229" t="s">
        <v>155</v>
      </c>
      <c r="B83" s="229"/>
      <c r="C83" s="229"/>
      <c r="D83" s="229"/>
      <c r="E83" s="229"/>
      <c r="F83" s="229"/>
      <c r="G83" s="229"/>
      <c r="H83" s="229"/>
      <c r="I83" s="229"/>
      <c r="J83" s="229"/>
      <c r="K83" s="229"/>
    </row>
  </sheetData>
  <sheetProtection/>
  <mergeCells count="16">
    <mergeCell ref="L3:M4"/>
    <mergeCell ref="A2:I2"/>
    <mergeCell ref="A3:A5"/>
    <mergeCell ref="B3:G3"/>
    <mergeCell ref="H3:I4"/>
    <mergeCell ref="J3:K4"/>
    <mergeCell ref="A83:K83"/>
    <mergeCell ref="N3:Q3"/>
    <mergeCell ref="R3:R5"/>
    <mergeCell ref="B4:C4"/>
    <mergeCell ref="D4:E4"/>
    <mergeCell ref="F4:G4"/>
    <mergeCell ref="N4:N5"/>
    <mergeCell ref="O4:O5"/>
    <mergeCell ref="P4:P5"/>
    <mergeCell ref="Q4:Q5"/>
  </mergeCell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48" r:id="rId1"/>
  <headerFooter alignWithMargins="0">
    <oddFooter>&amp;R関東信越国税局
消費税
(H&amp;K01+00030&amp;K000000)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cp:lastPrinted>2020-05-07T06:36:02Z</cp:lastPrinted>
  <dcterms:created xsi:type="dcterms:W3CDTF">2003-07-09T01:05:10Z</dcterms:created>
  <dcterms:modified xsi:type="dcterms:W3CDTF">2020-07-21T08:56:24Z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説明">
    <vt:lpwstr/>
  </property>
</Properties>
</file>