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594"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'(4)税務署別(個人事業者）'!$A$1:$N$83</definedName>
    <definedName name="_xlnm.Print_Area" localSheetId="5">'(4)税務署別（合計）'!$A$1:$R$83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iterate="1" iterateCount="1" iterateDelta="0"/>
</workbook>
</file>

<file path=xl/sharedStrings.xml><?xml version="1.0" encoding="utf-8"?>
<sst xmlns="http://schemas.openxmlformats.org/spreadsheetml/2006/main" count="625" uniqueCount="169">
  <si>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</si>
  <si>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</si>
  <si>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</si>
  <si>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</si>
  <si>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</si>
  <si>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</si>
  <si>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</si>
  <si>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</si>
  <si>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</si>
  <si>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</si>
  <si>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</si>
  <si>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</si>
  <si>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</si>
  <si>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</si>
  <si>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</si>
  <si>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</si>
  <si>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</si>
  <si>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</si>
  <si>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</si>
  <si>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</si>
  <si>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</si>
  <si>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</si>
  <si>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</si>
  <si>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</si>
  <si>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</si>
  <si>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平成23年度</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</si>
  <si>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</si>
  <si>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</si>
  <si>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</si>
  <si>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</si>
  <si>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</si>
  <si>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</si>
  <si>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</si>
  <si>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</si>
  <si>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</si>
  <si>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</si>
  <si>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　数</t>
  </si>
  <si>
    <t>税額</t>
  </si>
  <si>
    <t>税　額　①</t>
  </si>
  <si>
    <t>税　額　②</t>
  </si>
  <si>
    <t>税　額　③</t>
  </si>
  <si>
    <t>税　　　額
(①－②＋③)</t>
  </si>
  <si>
    <t>水戸</t>
  </si>
  <si>
    <t>日立</t>
  </si>
  <si>
    <t>土浦</t>
  </si>
  <si>
    <t>古河</t>
  </si>
  <si>
    <t>下館</t>
  </si>
  <si>
    <t>竜ケ崎</t>
  </si>
  <si>
    <t>竜ケ崎</t>
  </si>
  <si>
    <t>太田</t>
  </si>
  <si>
    <t>潮来</t>
  </si>
  <si>
    <t>茨城県計</t>
  </si>
  <si>
    <t>茨城県計</t>
  </si>
  <si>
    <t>宇都宮</t>
  </si>
  <si>
    <t>足利</t>
  </si>
  <si>
    <t>栃木</t>
  </si>
  <si>
    <t>佐野</t>
  </si>
  <si>
    <t>鹿沼</t>
  </si>
  <si>
    <t>真岡</t>
  </si>
  <si>
    <t>大田原</t>
  </si>
  <si>
    <t>氏家</t>
  </si>
  <si>
    <t>栃木県計</t>
  </si>
  <si>
    <t>栃木県計</t>
  </si>
  <si>
    <t>前橋</t>
  </si>
  <si>
    <t>高崎</t>
  </si>
  <si>
    <t>桐生</t>
  </si>
  <si>
    <t>伊勢崎</t>
  </si>
  <si>
    <t>沼田</t>
  </si>
  <si>
    <t>館林</t>
  </si>
  <si>
    <t>藤岡</t>
  </si>
  <si>
    <t>富岡</t>
  </si>
  <si>
    <t>中之条</t>
  </si>
  <si>
    <t>群馬県計</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</si>
  <si>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</si>
  <si>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</si>
  <si>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</si>
  <si>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</si>
  <si>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</si>
  <si>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</si>
  <si>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</si>
  <si>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</si>
  <si>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</si>
  <si>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</si>
  <si>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</si>
  <si>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</si>
  <si>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</si>
  <si>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</si>
  <si>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</si>
  <si>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</si>
  <si>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</si>
  <si>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埼玉県計</t>
  </si>
  <si>
    <t>新潟</t>
  </si>
  <si>
    <t>新津</t>
  </si>
  <si>
    <t>巻</t>
  </si>
  <si>
    <t>長岡</t>
  </si>
  <si>
    <t>三条</t>
  </si>
  <si>
    <t>柏崎</t>
  </si>
  <si>
    <t>新発田</t>
  </si>
  <si>
    <t>小千谷</t>
  </si>
  <si>
    <t>十日町</t>
  </si>
  <si>
    <t>村上</t>
  </si>
  <si>
    <t>糸魚川</t>
  </si>
  <si>
    <t>高田</t>
  </si>
  <si>
    <t>佐渡</t>
  </si>
  <si>
    <t>佐渡</t>
  </si>
  <si>
    <t>新潟県計</t>
  </si>
  <si>
    <t>新潟県計</t>
  </si>
  <si>
    <t>長野</t>
  </si>
  <si>
    <t>松本</t>
  </si>
  <si>
    <t>上田</t>
  </si>
  <si>
    <t>飯田</t>
  </si>
  <si>
    <t>諏訪</t>
  </si>
  <si>
    <t>伊那</t>
  </si>
  <si>
    <t>信濃中野</t>
  </si>
  <si>
    <t>大町</t>
  </si>
  <si>
    <t>佐久</t>
  </si>
  <si>
    <t>木曽</t>
  </si>
  <si>
    <t>長野県計</t>
  </si>
  <si>
    <t>長野県計</t>
  </si>
  <si>
    <t>総　計</t>
  </si>
  <si>
    <t>総　計</t>
  </si>
  <si>
    <t>（注）この表は「(1)　課税状況」の現年分を税務署別に示したものである（加算税を除く。）。</t>
  </si>
  <si>
    <t>(4)　税務署別課税状況（続）</t>
  </si>
  <si>
    <t>　ロ　法　　　人</t>
  </si>
  <si>
    <t>税務署名</t>
  </si>
  <si>
    <t>　ハ　個人事業者と法人の合計</t>
  </si>
  <si>
    <t>課　税　事　業　者　等　届　出　件　数</t>
  </si>
  <si>
    <t>課税事業者
届出</t>
  </si>
  <si>
    <t>課税事業者
選択届出</t>
  </si>
  <si>
    <t>新設法人に
該当する旨
の届出</t>
  </si>
  <si>
    <t>合　　　計</t>
  </si>
  <si>
    <t>件 数</t>
  </si>
  <si>
    <t>税 額</t>
  </si>
  <si>
    <t>税　　額
(①－②＋③)</t>
  </si>
  <si>
    <t>茨城県計</t>
  </si>
  <si>
    <t/>
  </si>
  <si>
    <t>（注）この表は「(1)　課税状況」の現年分及び「(3)　課税事業者等届出件数」を税務署別に示したものである（加算税を除く。）。</t>
  </si>
  <si>
    <t>平成25年度</t>
  </si>
  <si>
    <t>調査対象等：</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</si>
  <si>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</si>
  <si>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</si>
  <si>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</si>
  <si>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</si>
  <si>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</si>
  <si>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</si>
  <si>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</si>
  <si>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</si>
  <si>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</si>
  <si>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</si>
  <si>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</si>
  <si>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</si>
  <si>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茨城県計</t>
  </si>
  <si>
    <t>栃木県計</t>
  </si>
  <si>
    <t>群馬県計</t>
  </si>
  <si>
    <t>埼玉県計</t>
  </si>
  <si>
    <t>佐渡</t>
  </si>
  <si>
    <t>新潟県計</t>
  </si>
  <si>
    <t>長野県計</t>
  </si>
  <si>
    <t>総　計</t>
  </si>
  <si>
    <t>（注）１　税関分は含まない。</t>
  </si>
  <si>
    <t>　　　２　「件数欄」の「実」は、実件数を示す。</t>
  </si>
  <si>
    <t>「現年分」は、平成26年４月１日から平成27年３月31日までに終了した課税期間について、平成27年６月30日現在の申告（国・地方公共団体等については平成27年９月30日までの申告を含む。）及び処理（更正、決定等）による課税事績を「申告書及び決議書」に基づいて作成した。</t>
  </si>
  <si>
    <t>「既往年分」は、平成26年３月31日以前に終了した課税期間について、平成26年７月１日から平成27年６月30日までの間の申告（平成26年７月１日から同年９月30日までの間の国・地方公共団体等に係る申告を除く。）及び処理（更正、決定等）による課税事績を「申告書及び決議書」に基づいて作成した。</t>
  </si>
  <si>
    <t>平成22年度</t>
  </si>
  <si>
    <t>平成24年度</t>
  </si>
  <si>
    <t>平成26年度</t>
  </si>
  <si>
    <t>調査対象等：平成26年度末（平成27年３月31日現在）の届出件数を示している。</t>
  </si>
  <si>
    <t xml:space="preserve"> -</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</si>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</sst>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8">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u val="single"/>
      <sz val="16.5"/>
      <color indexed="12"/>
      <name val="ＭＳ Ｐゴシック"/>
      <family val="3"/>
    </font>
    <font>
      <b/>
      <sz val="9"/>
      <name val="ＭＳ 明朝"/>
      <family val="1"/>
    </font>
    <font>
      <b/>
      <sz val="11"/>
      <name val="ＭＳ ゴシック"/>
      <family val="3"/>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right style="thin"/>
      <top style="thin"/>
      <bottom/>
    </border>
    <border>
      <left/>
      <right style="medium"/>
      <top style="thin"/>
      <bottom/>
    </border>
    <border>
      <left style="thin"/>
      <right style="hair"/>
      <top style="thin"/>
      <bottom/>
    </border>
    <border>
      <left style="medium"/>
      <right style="thin"/>
      <top style="medium"/>
      <bottom/>
    </border>
    <border>
      <left style="thin"/>
      <right style="thin"/>
      <top style="medium"/>
      <bottom/>
    </border>
    <border>
      <left style="thin"/>
      <right/>
      <top style="medium"/>
      <bottom/>
    </border>
    <border>
      <left style="hair"/>
      <right style="medium"/>
      <top style="thin"/>
      <bottom/>
    </border>
    <border>
      <left style="thin"/>
      <right style="hair"/>
      <top/>
      <bottom/>
    </border>
    <border>
      <left style="thin"/>
      <right style="hair"/>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border>
    <border>
      <left style="hair"/>
      <right style="thin"/>
      <top/>
      <bottom style="hair">
        <color indexed="55"/>
      </bottom>
    </border>
    <border>
      <left style="hair"/>
      <right style="medium"/>
      <top/>
      <bottom style="hair">
        <color indexed="55"/>
      </bottom>
    </border>
    <border>
      <left style="medium"/>
      <right/>
      <top style="thin"/>
      <bottom/>
    </border>
    <border>
      <left style="thin"/>
      <right style="hair"/>
      <top/>
      <bottom style="hair">
        <color indexed="55"/>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top style="medium"/>
      <bottom/>
    </border>
    <border>
      <left style="thin"/>
      <right style="medium"/>
      <top style="medium"/>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medium"/>
      <right style="thin"/>
      <top/>
      <bottom style="medium"/>
    </border>
    <border>
      <left style="thin"/>
      <right style="thin"/>
      <top/>
      <bottom style="medium"/>
    </border>
    <border>
      <left style="thin"/>
      <right/>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medium"/>
      <bottom style="thin"/>
    </border>
    <border>
      <left/>
      <right style="medium"/>
      <top style="medium"/>
      <bottom/>
    </border>
    <border>
      <left style="medium"/>
      <right style="hair"/>
      <top style="hair"/>
      <bottom style="medium"/>
    </border>
    <border>
      <left style="medium"/>
      <right style="hair"/>
      <top/>
      <bottom style="hair"/>
    </border>
    <border>
      <left style="medium"/>
      <right style="hair"/>
      <top style="hair"/>
      <bottom style="thin"/>
    </border>
    <border>
      <left style="medium"/>
      <right style="hair"/>
      <top style="thin"/>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46" fillId="32" borderId="0" applyNumberFormat="0" applyBorder="0" applyAlignment="0" applyProtection="0"/>
  </cellStyleXfs>
  <cellXfs count="218">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right" vertical="center"/>
    </xf>
    <xf numFmtId="0" fontId="5" fillId="0" borderId="18" xfId="0" applyFont="1" applyBorder="1" applyAlignment="1">
      <alignment horizontal="right" vertical="center"/>
    </xf>
    <xf numFmtId="0" fontId="3" fillId="0" borderId="19" xfId="0" applyFont="1" applyBorder="1" applyAlignment="1">
      <alignment horizontal="right" vertical="center"/>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0" fontId="3" fillId="0" borderId="20" xfId="0" applyFont="1" applyBorder="1" applyAlignment="1">
      <alignment horizontal="distributed" vertical="center"/>
    </xf>
    <xf numFmtId="0" fontId="3" fillId="0" borderId="22" xfId="0" applyFont="1" applyBorder="1" applyAlignment="1">
      <alignment horizontal="distributed" vertical="center"/>
    </xf>
    <xf numFmtId="0" fontId="5" fillId="0" borderId="22" xfId="0" applyFont="1" applyBorder="1" applyAlignment="1">
      <alignment horizontal="distributed" vertical="center"/>
    </xf>
    <xf numFmtId="0" fontId="3" fillId="0" borderId="23" xfId="0" applyFont="1" applyBorder="1" applyAlignment="1">
      <alignment horizontal="distributed" vertical="center"/>
    </xf>
    <xf numFmtId="0" fontId="5" fillId="0" borderId="24" xfId="0" applyFont="1" applyBorder="1" applyAlignment="1">
      <alignment horizontal="right" vertical="center"/>
    </xf>
    <xf numFmtId="3" fontId="3" fillId="34" borderId="25" xfId="0" applyNumberFormat="1" applyFont="1" applyFill="1" applyBorder="1" applyAlignment="1">
      <alignment horizontal="right" vertical="center"/>
    </xf>
    <xf numFmtId="3" fontId="3" fillId="34" borderId="26" xfId="0" applyNumberFormat="1" applyFont="1" applyFill="1" applyBorder="1" applyAlignment="1">
      <alignment horizontal="right" vertical="center"/>
    </xf>
    <xf numFmtId="3" fontId="3" fillId="33" borderId="23" xfId="0" applyNumberFormat="1" applyFont="1" applyFill="1" applyBorder="1" applyAlignment="1">
      <alignment horizontal="right" vertical="center"/>
    </xf>
    <xf numFmtId="3" fontId="3" fillId="33" borderId="27" xfId="0" applyNumberFormat="1" applyFont="1" applyFill="1" applyBorder="1" applyAlignment="1">
      <alignment horizontal="right" vertical="center"/>
    </xf>
    <xf numFmtId="0" fontId="3" fillId="0" borderId="28" xfId="0" applyFont="1" applyBorder="1" applyAlignment="1">
      <alignment horizontal="distributed" vertical="center"/>
    </xf>
    <xf numFmtId="3" fontId="3" fillId="34" borderId="29" xfId="0" applyNumberFormat="1" applyFont="1" applyFill="1" applyBorder="1" applyAlignment="1">
      <alignment horizontal="right" vertical="center"/>
    </xf>
    <xf numFmtId="3" fontId="3" fillId="33" borderId="28" xfId="0" applyNumberFormat="1" applyFont="1" applyFill="1" applyBorder="1" applyAlignment="1">
      <alignment horizontal="right" vertical="center"/>
    </xf>
    <xf numFmtId="3" fontId="3" fillId="33" borderId="30" xfId="0" applyNumberFormat="1" applyFont="1" applyFill="1" applyBorder="1" applyAlignment="1">
      <alignment horizontal="right" vertical="center"/>
    </xf>
    <xf numFmtId="0" fontId="6" fillId="33" borderId="10" xfId="0" applyFont="1" applyFill="1" applyBorder="1" applyAlignment="1">
      <alignment horizontal="right" vertical="top"/>
    </xf>
    <xf numFmtId="0" fontId="6" fillId="34" borderId="31" xfId="0" applyFont="1" applyFill="1" applyBorder="1" applyAlignment="1">
      <alignment horizontal="right" vertical="top"/>
    </xf>
    <xf numFmtId="3" fontId="3" fillId="0" borderId="13" xfId="0" applyNumberFormat="1" applyFont="1" applyBorder="1" applyAlignment="1">
      <alignment horizontal="center" vertical="center"/>
    </xf>
    <xf numFmtId="0" fontId="3" fillId="0" borderId="18" xfId="0" applyFont="1" applyBorder="1" applyAlignment="1">
      <alignment horizontal="center" vertical="center"/>
    </xf>
    <xf numFmtId="3" fontId="3" fillId="0" borderId="18" xfId="0" applyNumberFormat="1" applyFont="1" applyBorder="1" applyAlignment="1">
      <alignment horizontal="center" vertical="center"/>
    </xf>
    <xf numFmtId="0" fontId="3" fillId="0" borderId="32" xfId="0" applyFont="1" applyBorder="1" applyAlignment="1">
      <alignment horizontal="distributed" vertical="center"/>
    </xf>
    <xf numFmtId="3" fontId="3" fillId="33" borderId="32" xfId="0" applyNumberFormat="1" applyFont="1" applyFill="1" applyBorder="1" applyAlignment="1">
      <alignment horizontal="right" vertical="center"/>
    </xf>
    <xf numFmtId="3" fontId="3" fillId="33" borderId="33" xfId="0" applyNumberFormat="1" applyFont="1" applyFill="1" applyBorder="1" applyAlignment="1">
      <alignment horizontal="right" vertical="center"/>
    </xf>
    <xf numFmtId="0" fontId="6" fillId="0" borderId="34" xfId="0" applyFont="1" applyFill="1" applyBorder="1" applyAlignment="1">
      <alignment horizontal="center" vertical="center"/>
    </xf>
    <xf numFmtId="0" fontId="6" fillId="0" borderId="13" xfId="0" applyFont="1" applyFill="1" applyBorder="1" applyAlignment="1">
      <alignment horizontal="right" vertical="top"/>
    </xf>
    <xf numFmtId="0" fontId="6" fillId="33" borderId="17" xfId="0" applyFont="1" applyFill="1" applyBorder="1" applyAlignment="1">
      <alignment horizontal="right" vertical="top"/>
    </xf>
    <xf numFmtId="0" fontId="6" fillId="0" borderId="10" xfId="0" applyFont="1" applyFill="1" applyBorder="1" applyAlignment="1">
      <alignment horizontal="center" vertical="center"/>
    </xf>
    <xf numFmtId="3" fontId="3" fillId="34" borderId="35" xfId="0" applyNumberFormat="1" applyFont="1" applyFill="1" applyBorder="1" applyAlignment="1">
      <alignment horizontal="right" vertical="center"/>
    </xf>
    <xf numFmtId="0" fontId="3" fillId="0" borderId="34" xfId="0" applyFont="1" applyBorder="1" applyAlignment="1">
      <alignment horizontal="center" vertical="center"/>
    </xf>
    <xf numFmtId="0" fontId="6" fillId="34" borderId="13" xfId="0" applyFont="1" applyFill="1" applyBorder="1" applyAlignment="1">
      <alignment horizontal="right"/>
    </xf>
    <xf numFmtId="0" fontId="6" fillId="33" borderId="10" xfId="0" applyFont="1" applyFill="1" applyBorder="1" applyAlignment="1">
      <alignment horizontal="right"/>
    </xf>
    <xf numFmtId="0" fontId="6" fillId="33" borderId="17" xfId="0" applyFont="1" applyFill="1" applyBorder="1" applyAlignment="1">
      <alignment horizontal="right"/>
    </xf>
    <xf numFmtId="0" fontId="6" fillId="34" borderId="36" xfId="0" applyFont="1" applyFill="1" applyBorder="1" applyAlignment="1">
      <alignment horizontal="right"/>
    </xf>
    <xf numFmtId="0" fontId="6" fillId="34" borderId="37" xfId="0" applyFont="1" applyFill="1" applyBorder="1" applyAlignment="1">
      <alignment horizontal="right"/>
    </xf>
    <xf numFmtId="0" fontId="6" fillId="34" borderId="38" xfId="0" applyFont="1" applyFill="1" applyBorder="1" applyAlignment="1">
      <alignment horizontal="right"/>
    </xf>
    <xf numFmtId="0" fontId="6" fillId="34" borderId="39" xfId="0" applyFont="1" applyFill="1" applyBorder="1" applyAlignment="1">
      <alignment horizontal="right"/>
    </xf>
    <xf numFmtId="0" fontId="3" fillId="0" borderId="40" xfId="0" applyFont="1" applyBorder="1" applyAlignment="1">
      <alignment horizontal="left" vertical="top" wrapText="1"/>
    </xf>
    <xf numFmtId="0" fontId="4" fillId="0" borderId="0" xfId="0" applyFont="1" applyAlignment="1">
      <alignment horizontal="center" vertical="top"/>
    </xf>
    <xf numFmtId="0" fontId="3" fillId="0" borderId="20"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left" vertical="top"/>
    </xf>
    <xf numFmtId="0" fontId="0" fillId="0" borderId="0" xfId="0" applyFont="1" applyAlignment="1">
      <alignment/>
    </xf>
    <xf numFmtId="0" fontId="3" fillId="0" borderId="0" xfId="0" applyFont="1" applyAlignment="1" quotePrefix="1">
      <alignment horizontal="left" vertical="top"/>
    </xf>
    <xf numFmtId="0" fontId="3" fillId="0" borderId="41" xfId="0" applyFont="1" applyBorder="1" applyAlignment="1">
      <alignment horizontal="distributed" vertical="center" indent="1"/>
    </xf>
    <xf numFmtId="0" fontId="3" fillId="0" borderId="0" xfId="60" applyFont="1" applyAlignment="1">
      <alignment horizontal="left" vertical="center"/>
      <protection/>
    </xf>
    <xf numFmtId="0" fontId="3" fillId="0" borderId="0" xfId="60" applyFont="1" applyAlignment="1">
      <alignment horizontal="left" vertical="top"/>
      <protection/>
    </xf>
    <xf numFmtId="0" fontId="0" fillId="0" borderId="0" xfId="60" applyFont="1">
      <alignment/>
      <protection/>
    </xf>
    <xf numFmtId="0" fontId="3" fillId="0" borderId="42" xfId="60" applyFont="1" applyBorder="1" applyAlignment="1">
      <alignment horizontal="center" vertical="center"/>
      <protection/>
    </xf>
    <xf numFmtId="0" fontId="3" fillId="0" borderId="43" xfId="60" applyFont="1" applyBorder="1" applyAlignment="1">
      <alignment horizontal="distributed" vertical="center" indent="1"/>
      <protection/>
    </xf>
    <xf numFmtId="0" fontId="3" fillId="0" borderId="43"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44" xfId="60" applyFont="1" applyBorder="1" applyAlignment="1">
      <alignment horizontal="centerContinuous" vertical="center" wrapText="1"/>
      <protection/>
    </xf>
    <xf numFmtId="0" fontId="0" fillId="0" borderId="0" xfId="60" applyFont="1" applyAlignment="1">
      <alignment horizontal="center"/>
      <protection/>
    </xf>
    <xf numFmtId="0" fontId="6" fillId="35" borderId="34" xfId="60" applyFont="1" applyFill="1" applyBorder="1" applyAlignment="1">
      <alignment horizontal="distributed" vertical="top"/>
      <protection/>
    </xf>
    <xf numFmtId="0" fontId="6" fillId="34" borderId="13" xfId="60" applyFont="1" applyFill="1" applyBorder="1" applyAlignment="1">
      <alignment horizontal="right" vertical="top"/>
      <protection/>
    </xf>
    <xf numFmtId="0" fontId="6" fillId="33" borderId="10" xfId="60" applyFont="1" applyFill="1" applyBorder="1" applyAlignment="1">
      <alignment horizontal="right" vertical="top"/>
      <protection/>
    </xf>
    <xf numFmtId="0" fontId="6" fillId="33" borderId="45" xfId="60" applyFont="1" applyFill="1" applyBorder="1" applyAlignment="1">
      <alignment horizontal="right" vertical="top"/>
      <protection/>
    </xf>
    <xf numFmtId="0" fontId="6" fillId="35" borderId="39" xfId="60" applyFont="1" applyFill="1" applyBorder="1" applyAlignment="1">
      <alignment horizontal="distributed" vertical="top"/>
      <protection/>
    </xf>
    <xf numFmtId="0" fontId="7" fillId="0" borderId="0" xfId="60" applyFont="1" applyAlignment="1">
      <alignment horizontal="right" vertical="top"/>
      <protection/>
    </xf>
    <xf numFmtId="0" fontId="3" fillId="36" borderId="46" xfId="60" applyFont="1" applyFill="1" applyBorder="1" applyAlignment="1">
      <alignment horizontal="distributed" vertical="center"/>
      <protection/>
    </xf>
    <xf numFmtId="0" fontId="3" fillId="36" borderId="47" xfId="60" applyFont="1" applyFill="1" applyBorder="1" applyAlignment="1">
      <alignment horizontal="distributed" vertical="center"/>
      <protection/>
    </xf>
    <xf numFmtId="0" fontId="8" fillId="0" borderId="0" xfId="60" applyFont="1">
      <alignment/>
      <protection/>
    </xf>
    <xf numFmtId="0" fontId="3" fillId="36" borderId="48" xfId="60" applyFont="1" applyFill="1" applyBorder="1" applyAlignment="1">
      <alignment horizontal="distributed" vertical="center"/>
      <protection/>
    </xf>
    <xf numFmtId="0" fontId="3" fillId="36" borderId="49" xfId="60" applyFont="1" applyFill="1" applyBorder="1" applyAlignment="1">
      <alignment horizontal="distributed" vertical="center"/>
      <protection/>
    </xf>
    <xf numFmtId="0" fontId="5" fillId="36" borderId="50" xfId="60" applyFont="1" applyFill="1" applyBorder="1" applyAlignment="1">
      <alignment horizontal="distributed" vertical="center"/>
      <protection/>
    </xf>
    <xf numFmtId="0" fontId="5" fillId="36" borderId="51" xfId="60" applyFont="1" applyFill="1" applyBorder="1" applyAlignment="1">
      <alignment horizontal="distributed" vertical="center"/>
      <protection/>
    </xf>
    <xf numFmtId="0" fontId="10" fillId="0" borderId="52" xfId="60" applyFont="1" applyFill="1" applyBorder="1" applyAlignment="1">
      <alignment horizontal="distributed" vertical="center"/>
      <protection/>
    </xf>
    <xf numFmtId="0" fontId="10" fillId="0" borderId="53" xfId="60" applyFont="1" applyFill="1" applyBorder="1" applyAlignment="1">
      <alignment horizontal="center" vertical="center"/>
      <protection/>
    </xf>
    <xf numFmtId="0" fontId="3" fillId="36" borderId="54" xfId="60" applyFont="1" applyFill="1" applyBorder="1" applyAlignment="1">
      <alignment horizontal="distributed" vertical="center"/>
      <protection/>
    </xf>
    <xf numFmtId="0" fontId="10" fillId="0" borderId="55" xfId="60" applyFont="1" applyFill="1" applyBorder="1" applyAlignment="1">
      <alignment horizontal="distributed" vertical="center"/>
      <protection/>
    </xf>
    <xf numFmtId="0" fontId="10" fillId="0" borderId="56" xfId="60" applyFont="1" applyFill="1" applyBorder="1" applyAlignment="1">
      <alignment horizontal="center" vertical="center"/>
      <protection/>
    </xf>
    <xf numFmtId="0" fontId="11" fillId="0" borderId="0" xfId="60" applyFont="1">
      <alignment/>
      <protection/>
    </xf>
    <xf numFmtId="0" fontId="5" fillId="0" borderId="57" xfId="60" applyFont="1" applyBorder="1" applyAlignment="1">
      <alignment horizontal="center" vertical="center"/>
      <protection/>
    </xf>
    <xf numFmtId="0" fontId="5" fillId="0" borderId="58" xfId="60" applyFont="1" applyBorder="1" applyAlignment="1">
      <alignment horizontal="center" vertical="center"/>
      <protection/>
    </xf>
    <xf numFmtId="0" fontId="3" fillId="0" borderId="0" xfId="60" applyFont="1" applyBorder="1" applyAlignment="1">
      <alignment horizontal="left" vertical="center"/>
      <protection/>
    </xf>
    <xf numFmtId="0" fontId="0" fillId="0" borderId="0" xfId="60" applyFont="1" applyBorder="1">
      <alignment/>
      <protection/>
    </xf>
    <xf numFmtId="0" fontId="7" fillId="0" borderId="0" xfId="60" applyFont="1" applyAlignment="1">
      <alignment vertical="top"/>
      <protection/>
    </xf>
    <xf numFmtId="0" fontId="3" fillId="0" borderId="43" xfId="60" applyFont="1" applyBorder="1" applyAlignment="1">
      <alignment horizontal="center" vertical="center" wrapText="1"/>
      <protection/>
    </xf>
    <xf numFmtId="0" fontId="6" fillId="34" borderId="31" xfId="60" applyFont="1" applyFill="1" applyBorder="1" applyAlignment="1">
      <alignment horizontal="right" vertical="top"/>
      <protection/>
    </xf>
    <xf numFmtId="0" fontId="6" fillId="34" borderId="45" xfId="60" applyFont="1" applyFill="1" applyBorder="1" applyAlignment="1">
      <alignment horizontal="right" vertical="top"/>
      <protection/>
    </xf>
    <xf numFmtId="0" fontId="10" fillId="0" borderId="59" xfId="60" applyFont="1" applyFill="1" applyBorder="1" applyAlignment="1">
      <alignment horizontal="center" vertical="center"/>
      <protection/>
    </xf>
    <xf numFmtId="0" fontId="10" fillId="0" borderId="60" xfId="60" applyFont="1" applyFill="1" applyBorder="1" applyAlignment="1">
      <alignment horizontal="center" vertical="center"/>
      <protection/>
    </xf>
    <xf numFmtId="0" fontId="5" fillId="0" borderId="61" xfId="60" applyFont="1" applyBorder="1" applyAlignment="1">
      <alignment horizontal="center" vertical="center"/>
      <protection/>
    </xf>
    <xf numFmtId="3" fontId="3" fillId="34" borderId="62" xfId="0" applyNumberFormat="1" applyFont="1" applyFill="1" applyBorder="1" applyAlignment="1">
      <alignment horizontal="right" vertical="center"/>
    </xf>
    <xf numFmtId="3" fontId="3" fillId="34" borderId="63"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3" fontId="3" fillId="33" borderId="64" xfId="0" applyNumberFormat="1" applyFont="1" applyFill="1" applyBorder="1" applyAlignment="1">
      <alignment horizontal="right" vertical="center"/>
    </xf>
    <xf numFmtId="3" fontId="5" fillId="34" borderId="63"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5" fillId="33" borderId="64" xfId="0" applyNumberFormat="1" applyFont="1" applyFill="1" applyBorder="1" applyAlignment="1">
      <alignment horizontal="right" vertical="center"/>
    </xf>
    <xf numFmtId="3" fontId="3" fillId="34" borderId="65" xfId="0" applyNumberFormat="1" applyFont="1" applyFill="1" applyBorder="1" applyAlignment="1">
      <alignment horizontal="right" vertical="center"/>
    </xf>
    <xf numFmtId="3" fontId="3" fillId="33" borderId="66" xfId="0" applyNumberFormat="1" applyFont="1" applyFill="1" applyBorder="1" applyAlignment="1">
      <alignment horizontal="right" vertical="center"/>
    </xf>
    <xf numFmtId="3" fontId="3" fillId="33" borderId="67" xfId="0" applyNumberFormat="1" applyFont="1" applyFill="1" applyBorder="1" applyAlignment="1">
      <alignment horizontal="right" vertical="center"/>
    </xf>
    <xf numFmtId="3" fontId="3" fillId="34" borderId="68" xfId="0" applyNumberFormat="1" applyFont="1" applyFill="1" applyBorder="1" applyAlignment="1">
      <alignment horizontal="right" vertical="center"/>
    </xf>
    <xf numFmtId="3" fontId="3" fillId="34" borderId="68" xfId="0" applyNumberFormat="1" applyFont="1" applyFill="1" applyBorder="1" applyAlignment="1">
      <alignment vertical="center"/>
    </xf>
    <xf numFmtId="3" fontId="3" fillId="34" borderId="63" xfId="0" applyNumberFormat="1" applyFont="1" applyFill="1" applyBorder="1" applyAlignment="1">
      <alignment vertical="center"/>
    </xf>
    <xf numFmtId="3" fontId="5" fillId="34" borderId="69" xfId="0" applyNumberFormat="1" applyFont="1" applyFill="1" applyBorder="1" applyAlignment="1">
      <alignment horizontal="right" vertical="center"/>
    </xf>
    <xf numFmtId="3" fontId="5" fillId="33" borderId="70" xfId="0" applyNumberFormat="1" applyFont="1" applyFill="1" applyBorder="1" applyAlignment="1">
      <alignment horizontal="right" vertical="center"/>
    </xf>
    <xf numFmtId="3" fontId="5" fillId="33" borderId="71" xfId="0" applyNumberFormat="1" applyFont="1" applyFill="1" applyBorder="1" applyAlignment="1">
      <alignment horizontal="right" vertical="center"/>
    </xf>
    <xf numFmtId="3" fontId="3" fillId="34" borderId="72" xfId="0" applyNumberFormat="1" applyFont="1" applyFill="1" applyBorder="1" applyAlignment="1">
      <alignment horizontal="right" vertical="center"/>
    </xf>
    <xf numFmtId="3" fontId="3" fillId="33" borderId="73" xfId="0" applyNumberFormat="1" applyFont="1" applyFill="1" applyBorder="1" applyAlignment="1">
      <alignment horizontal="right" vertical="center"/>
    </xf>
    <xf numFmtId="3" fontId="3" fillId="33" borderId="74" xfId="0" applyNumberFormat="1" applyFont="1" applyFill="1" applyBorder="1" applyAlignment="1">
      <alignment horizontal="right" vertical="center"/>
    </xf>
    <xf numFmtId="3" fontId="3" fillId="34" borderId="75" xfId="0" applyNumberFormat="1" applyFont="1" applyFill="1" applyBorder="1" applyAlignment="1">
      <alignment horizontal="right" vertical="center" indent="1"/>
    </xf>
    <xf numFmtId="3" fontId="3" fillId="34" borderId="76" xfId="0" applyNumberFormat="1" applyFont="1" applyFill="1" applyBorder="1" applyAlignment="1">
      <alignment horizontal="right" vertical="center" indent="1"/>
    </xf>
    <xf numFmtId="3" fontId="3" fillId="34" borderId="77" xfId="0" applyNumberFormat="1" applyFont="1" applyFill="1" applyBorder="1" applyAlignment="1">
      <alignment horizontal="right" vertical="center" indent="1"/>
    </xf>
    <xf numFmtId="3" fontId="3" fillId="34" borderId="58" xfId="0" applyNumberFormat="1" applyFont="1" applyFill="1" applyBorder="1" applyAlignment="1">
      <alignment horizontal="right" vertical="center" indent="1"/>
    </xf>
    <xf numFmtId="176" fontId="3" fillId="34" borderId="35" xfId="60" applyNumberFormat="1" applyFont="1" applyFill="1" applyBorder="1" applyAlignment="1">
      <alignment horizontal="right" vertical="center"/>
      <protection/>
    </xf>
    <xf numFmtId="176" fontId="3" fillId="33" borderId="32" xfId="60" applyNumberFormat="1" applyFont="1" applyFill="1" applyBorder="1" applyAlignment="1">
      <alignment horizontal="right" vertical="center"/>
      <protection/>
    </xf>
    <xf numFmtId="176" fontId="3" fillId="33" borderId="78" xfId="60" applyNumberFormat="1" applyFont="1" applyFill="1" applyBorder="1" applyAlignment="1">
      <alignment horizontal="right" vertical="center"/>
      <protection/>
    </xf>
    <xf numFmtId="176" fontId="3" fillId="34" borderId="79" xfId="60" applyNumberFormat="1" applyFont="1" applyFill="1" applyBorder="1" applyAlignment="1">
      <alignment horizontal="right" vertical="center"/>
      <protection/>
    </xf>
    <xf numFmtId="176" fontId="3" fillId="33" borderId="22" xfId="60" applyNumberFormat="1" applyFont="1" applyFill="1" applyBorder="1" applyAlignment="1">
      <alignment horizontal="right" vertical="center"/>
      <protection/>
    </xf>
    <xf numFmtId="176" fontId="3" fillId="33" borderId="80" xfId="60" applyNumberFormat="1" applyFont="1" applyFill="1" applyBorder="1" applyAlignment="1">
      <alignment horizontal="right" vertical="center"/>
      <protection/>
    </xf>
    <xf numFmtId="176" fontId="5" fillId="34" borderId="81" xfId="60" applyNumberFormat="1" applyFont="1" applyFill="1" applyBorder="1" applyAlignment="1">
      <alignment horizontal="right" vertical="center"/>
      <protection/>
    </xf>
    <xf numFmtId="176" fontId="5" fillId="33" borderId="82" xfId="60" applyNumberFormat="1" applyFont="1" applyFill="1" applyBorder="1" applyAlignment="1">
      <alignment horizontal="right" vertical="center"/>
      <protection/>
    </xf>
    <xf numFmtId="176" fontId="5" fillId="33" borderId="83" xfId="60" applyNumberFormat="1" applyFont="1" applyFill="1" applyBorder="1" applyAlignment="1">
      <alignment horizontal="right" vertical="center"/>
      <protection/>
    </xf>
    <xf numFmtId="176" fontId="10" fillId="0" borderId="84" xfId="60" applyNumberFormat="1" applyFont="1" applyFill="1" applyBorder="1" applyAlignment="1">
      <alignment horizontal="right" vertical="center"/>
      <protection/>
    </xf>
    <xf numFmtId="176" fontId="10" fillId="0" borderId="85" xfId="60" applyNumberFormat="1" applyFont="1" applyFill="1" applyBorder="1" applyAlignment="1">
      <alignment horizontal="right" vertical="center"/>
      <protection/>
    </xf>
    <xf numFmtId="176" fontId="10" fillId="0" borderId="86" xfId="60" applyNumberFormat="1" applyFont="1" applyFill="1" applyBorder="1" applyAlignment="1">
      <alignment horizontal="right" vertical="center"/>
      <protection/>
    </xf>
    <xf numFmtId="176" fontId="3" fillId="0"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5" fillId="34" borderId="19" xfId="60" applyNumberFormat="1" applyFont="1" applyFill="1" applyBorder="1" applyAlignment="1">
      <alignment horizontal="right" vertical="center"/>
      <protection/>
    </xf>
    <xf numFmtId="176" fontId="5" fillId="33" borderId="73" xfId="60" applyNumberFormat="1" applyFont="1" applyFill="1" applyBorder="1" applyAlignment="1">
      <alignment horizontal="right" vertical="center"/>
      <protection/>
    </xf>
    <xf numFmtId="176" fontId="5" fillId="33" borderId="90" xfId="60" applyNumberFormat="1" applyFont="1" applyFill="1" applyBorder="1" applyAlignment="1">
      <alignment horizontal="right" vertical="center"/>
      <protection/>
    </xf>
    <xf numFmtId="176" fontId="3" fillId="34" borderId="62" xfId="60" applyNumberFormat="1" applyFont="1" applyFill="1" applyBorder="1" applyAlignment="1">
      <alignment horizontal="right" vertical="center"/>
      <protection/>
    </xf>
    <xf numFmtId="176" fontId="3" fillId="34" borderId="78" xfId="60" applyNumberFormat="1" applyFont="1" applyFill="1" applyBorder="1" applyAlignment="1">
      <alignment horizontal="right" vertical="center"/>
      <protection/>
    </xf>
    <xf numFmtId="176" fontId="5" fillId="34" borderId="91" xfId="60" applyNumberFormat="1" applyFont="1" applyFill="1" applyBorder="1" applyAlignment="1">
      <alignment horizontal="right" vertical="center"/>
      <protection/>
    </xf>
    <xf numFmtId="176" fontId="5" fillId="34" borderId="83"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3" fillId="0" borderId="94" xfId="60" applyNumberFormat="1" applyFont="1" applyFill="1" applyBorder="1" applyAlignment="1">
      <alignment horizontal="right" vertical="center"/>
      <protection/>
    </xf>
    <xf numFmtId="176" fontId="3" fillId="0" borderId="95" xfId="60" applyNumberFormat="1" applyFont="1" applyFill="1" applyBorder="1" applyAlignment="1">
      <alignment horizontal="right" vertical="center"/>
      <protection/>
    </xf>
    <xf numFmtId="176" fontId="3" fillId="0" borderId="96" xfId="60" applyNumberFormat="1" applyFont="1" applyFill="1" applyBorder="1" applyAlignment="1">
      <alignment horizontal="right" vertical="center"/>
      <protection/>
    </xf>
    <xf numFmtId="176" fontId="3" fillId="0" borderId="97" xfId="60" applyNumberFormat="1" applyFont="1" applyFill="1" applyBorder="1" applyAlignment="1">
      <alignment horizontal="right" vertical="center"/>
      <protection/>
    </xf>
    <xf numFmtId="176" fontId="5" fillId="34" borderId="98" xfId="60" applyNumberFormat="1" applyFont="1" applyFill="1" applyBorder="1" applyAlignment="1">
      <alignment horizontal="right" vertical="center"/>
      <protection/>
    </xf>
    <xf numFmtId="176" fontId="5" fillId="34" borderId="99" xfId="60" applyNumberFormat="1" applyFont="1" applyFill="1" applyBorder="1" applyAlignment="1">
      <alignment horizontal="right" vertical="center"/>
      <protection/>
    </xf>
    <xf numFmtId="176" fontId="5" fillId="34" borderId="100" xfId="60" applyNumberFormat="1" applyFont="1" applyFill="1" applyBorder="1" applyAlignment="1">
      <alignment horizontal="right" vertical="center"/>
      <protection/>
    </xf>
    <xf numFmtId="0" fontId="3" fillId="0" borderId="0" xfId="0" applyFont="1" applyAlignment="1">
      <alignment horizontal="left" vertical="top" wrapText="1"/>
    </xf>
    <xf numFmtId="0" fontId="3" fillId="0" borderId="101" xfId="0" applyFont="1" applyBorder="1" applyAlignment="1">
      <alignment horizontal="distributed" vertical="center" wrapText="1"/>
    </xf>
    <xf numFmtId="0" fontId="3" fillId="0" borderId="101" xfId="0" applyFont="1" applyBorder="1" applyAlignment="1">
      <alignment horizontal="distributed" vertical="center"/>
    </xf>
    <xf numFmtId="0" fontId="3" fillId="0" borderId="102" xfId="0" applyFont="1" applyBorder="1" applyAlignment="1">
      <alignment horizontal="distributed" vertical="center"/>
    </xf>
    <xf numFmtId="0" fontId="3" fillId="0" borderId="103" xfId="0" applyFont="1" applyBorder="1" applyAlignment="1">
      <alignment horizontal="distributed" vertical="center" wrapText="1"/>
    </xf>
    <xf numFmtId="0" fontId="3" fillId="0" borderId="104" xfId="0" applyFont="1" applyBorder="1" applyAlignment="1">
      <alignment horizontal="distributed" vertical="center"/>
    </xf>
    <xf numFmtId="0" fontId="5" fillId="0" borderId="105" xfId="0" applyFont="1" applyBorder="1" applyAlignment="1">
      <alignment horizontal="distributed" vertical="center"/>
    </xf>
    <xf numFmtId="0" fontId="5" fillId="0" borderId="106" xfId="0" applyFont="1" applyBorder="1" applyAlignment="1">
      <alignment horizontal="distributed" vertical="center"/>
    </xf>
    <xf numFmtId="0" fontId="3" fillId="0" borderId="57" xfId="0" applyFont="1" applyBorder="1" applyAlignment="1">
      <alignment horizontal="distributed" vertical="center"/>
    </xf>
    <xf numFmtId="0" fontId="3" fillId="0" borderId="107" xfId="0" applyFont="1" applyBorder="1" applyAlignment="1">
      <alignment horizontal="distributed" vertical="center"/>
    </xf>
    <xf numFmtId="0" fontId="3" fillId="0" borderId="40" xfId="0" applyFont="1" applyBorder="1" applyAlignment="1">
      <alignment horizontal="left" vertical="top" wrapText="1"/>
    </xf>
    <xf numFmtId="0" fontId="4" fillId="0" borderId="0" xfId="0" applyFont="1" applyAlignment="1">
      <alignment horizontal="center" vertical="top"/>
    </xf>
    <xf numFmtId="0" fontId="3" fillId="0" borderId="0" xfId="0" applyFont="1" applyAlignment="1">
      <alignment horizontal="left" vertical="top"/>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16" xfId="0" applyFont="1" applyBorder="1" applyAlignment="1">
      <alignment horizontal="center" vertical="center"/>
    </xf>
    <xf numFmtId="0" fontId="3" fillId="0" borderId="40" xfId="0" applyFont="1" applyBorder="1" applyAlignment="1">
      <alignment horizontal="center" vertical="center"/>
    </xf>
    <xf numFmtId="0" fontId="3" fillId="0" borderId="117" xfId="0" applyFont="1" applyBorder="1" applyAlignment="1">
      <alignment horizontal="center" vertical="center"/>
    </xf>
    <xf numFmtId="0" fontId="3" fillId="0" borderId="103"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02" xfId="0" applyFont="1" applyBorder="1" applyAlignment="1">
      <alignment horizontal="center" vertical="center"/>
    </xf>
    <xf numFmtId="0" fontId="3" fillId="0" borderId="40" xfId="0" applyFont="1" applyBorder="1" applyAlignment="1">
      <alignment horizontal="left" vertical="center"/>
    </xf>
    <xf numFmtId="0" fontId="3" fillId="0" borderId="0" xfId="0" applyFont="1" applyAlignment="1">
      <alignment horizontal="left" vertical="center"/>
    </xf>
    <xf numFmtId="0" fontId="3" fillId="0" borderId="41" xfId="60" applyFont="1" applyBorder="1" applyAlignment="1">
      <alignment horizontal="distributed" vertical="center" wrapText="1"/>
      <protection/>
    </xf>
    <xf numFmtId="0" fontId="3" fillId="0" borderId="122" xfId="60" applyFont="1" applyBorder="1" applyAlignment="1">
      <alignment horizontal="distributed" vertical="center" wrapText="1"/>
      <protection/>
    </xf>
    <xf numFmtId="0" fontId="3" fillId="0" borderId="123" xfId="60" applyFont="1" applyBorder="1" applyAlignment="1">
      <alignment horizontal="distributed" vertical="center" wrapText="1"/>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26" xfId="60" applyFont="1" applyBorder="1" applyAlignment="1">
      <alignment horizontal="center" vertical="center"/>
      <protection/>
    </xf>
    <xf numFmtId="0" fontId="3" fillId="0" borderId="40" xfId="60" applyFont="1" applyBorder="1" applyAlignment="1">
      <alignment horizontal="left" vertical="center"/>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0" xfId="60" applyFont="1" applyAlignment="1">
      <alignment horizontal="left" vertical="center"/>
      <protection/>
    </xf>
    <xf numFmtId="0" fontId="3" fillId="0" borderId="108" xfId="60" applyFont="1" applyBorder="1" applyAlignment="1">
      <alignment horizontal="distributed" vertical="center"/>
      <protection/>
    </xf>
    <xf numFmtId="0" fontId="3" fillId="0" borderId="110" xfId="60" applyFont="1" applyBorder="1" applyAlignment="1">
      <alignment horizontal="distributed" vertical="center"/>
      <protection/>
    </xf>
    <xf numFmtId="0" fontId="3" fillId="0" borderId="130" xfId="60" applyFont="1" applyBorder="1" applyAlignment="1">
      <alignment horizontal="distributed" vertical="center"/>
      <protection/>
    </xf>
    <xf numFmtId="0" fontId="3" fillId="0" borderId="131" xfId="60" applyFont="1" applyBorder="1" applyAlignment="1">
      <alignment horizontal="center" vertical="center"/>
      <protection/>
    </xf>
    <xf numFmtId="0" fontId="3" fillId="0" borderId="127" xfId="60" applyFont="1" applyBorder="1" applyAlignment="1">
      <alignment horizontal="center" vertical="center" wrapText="1"/>
      <protection/>
    </xf>
    <xf numFmtId="0" fontId="3" fillId="0" borderId="132" xfId="60" applyFont="1" applyBorder="1" applyAlignment="1">
      <alignment horizontal="left"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12" fillId="0" borderId="135" xfId="60" applyFont="1" applyBorder="1" applyAlignment="1">
      <alignment horizontal="distributed" vertical="center" wrapText="1"/>
      <protection/>
    </xf>
    <xf numFmtId="0" fontId="47" fillId="0" borderId="136" xfId="61" applyFont="1" applyBorder="1" applyAlignment="1">
      <alignment horizontal="distributed" vertical="center"/>
      <protection/>
    </xf>
    <xf numFmtId="0" fontId="12" fillId="0" borderId="137" xfId="60" applyFont="1" applyBorder="1" applyAlignment="1">
      <alignment horizontal="distributed" vertical="center" wrapText="1"/>
      <protection/>
    </xf>
    <xf numFmtId="0" fontId="12" fillId="0" borderId="138" xfId="60" applyFont="1" applyBorder="1" applyAlignment="1">
      <alignment horizontal="distributed" vertical="center"/>
      <protection/>
    </xf>
    <xf numFmtId="0" fontId="12" fillId="0" borderId="139" xfId="60" applyFont="1" applyBorder="1" applyAlignment="1">
      <alignment horizontal="distributed" vertical="center" wrapText="1"/>
      <protection/>
    </xf>
    <xf numFmtId="0" fontId="12" fillId="0" borderId="140" xfId="60" applyFont="1" applyBorder="1" applyAlignment="1">
      <alignment horizontal="distributed" vertical="center" wrapText="1"/>
      <protection/>
    </xf>
    <xf numFmtId="0" fontId="3" fillId="0" borderId="44" xfId="60" applyFont="1" applyBorder="1" applyAlignment="1">
      <alignment horizontal="center" vertical="center"/>
      <protection/>
    </xf>
    <xf numFmtId="0" fontId="3" fillId="0" borderId="131" xfId="60"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68" t="s">
        <v>0</v>
      </c>
      <c r="B1" s="168"/>
      <c r="C1" s="168"/>
      <c r="D1" s="168"/>
      <c r="E1" s="168"/>
      <c r="F1" s="168"/>
      <c r="G1" s="168"/>
      <c r="H1" s="168"/>
      <c r="I1" s="168"/>
      <c r="J1" s="168"/>
      <c r="K1" s="168"/>
    </row>
    <row r="2" spans="1:11" ht="15">
      <c r="A2" s="57"/>
      <c r="B2" s="57"/>
      <c r="C2" s="57"/>
      <c r="D2" s="57"/>
      <c r="E2" s="57"/>
      <c r="F2" s="57"/>
      <c r="G2" s="57"/>
      <c r="H2" s="57"/>
      <c r="I2" s="57"/>
      <c r="J2" s="57"/>
      <c r="K2" s="57"/>
    </row>
    <row r="3" spans="1:11" ht="12" thickBot="1">
      <c r="A3" s="169" t="s">
        <v>139</v>
      </c>
      <c r="B3" s="169"/>
      <c r="C3" s="169"/>
      <c r="D3" s="169"/>
      <c r="E3" s="169"/>
      <c r="F3" s="169"/>
      <c r="G3" s="169"/>
      <c r="H3" s="169"/>
      <c r="I3" s="169"/>
      <c r="J3" s="169"/>
      <c r="K3" s="169"/>
    </row>
    <row r="4" spans="1:11" ht="24" customHeight="1">
      <c r="A4" s="170" t="s">
        <v>1</v>
      </c>
      <c r="B4" s="171"/>
      <c r="C4" s="174" t="s">
        <v>140</v>
      </c>
      <c r="D4" s="175"/>
      <c r="E4" s="176"/>
      <c r="F4" s="174" t="s">
        <v>141</v>
      </c>
      <c r="G4" s="175"/>
      <c r="H4" s="176"/>
      <c r="I4" s="174" t="s">
        <v>142</v>
      </c>
      <c r="J4" s="175"/>
      <c r="K4" s="177"/>
    </row>
    <row r="5" spans="1:11" ht="24" customHeight="1">
      <c r="A5" s="172"/>
      <c r="B5" s="173"/>
      <c r="C5" s="178" t="s">
        <v>2</v>
      </c>
      <c r="D5" s="179"/>
      <c r="E5" s="6" t="s">
        <v>3</v>
      </c>
      <c r="F5" s="178" t="s">
        <v>2</v>
      </c>
      <c r="G5" s="179"/>
      <c r="H5" s="6" t="s">
        <v>3</v>
      </c>
      <c r="I5" s="178" t="s">
        <v>2</v>
      </c>
      <c r="J5" s="179"/>
      <c r="K5" s="14" t="s">
        <v>3</v>
      </c>
    </row>
    <row r="6" spans="1:11" ht="12" customHeight="1">
      <c r="A6" s="43"/>
      <c r="B6" s="46"/>
      <c r="C6" s="44"/>
      <c r="D6" s="36" t="s">
        <v>23</v>
      </c>
      <c r="E6" s="35" t="s">
        <v>22</v>
      </c>
      <c r="F6" s="44"/>
      <c r="G6" s="36" t="s">
        <v>23</v>
      </c>
      <c r="H6" s="35" t="s">
        <v>22</v>
      </c>
      <c r="I6" s="44"/>
      <c r="J6" s="36" t="s">
        <v>23</v>
      </c>
      <c r="K6" s="45" t="s">
        <v>22</v>
      </c>
    </row>
    <row r="7" spans="1:11" ht="30" customHeight="1">
      <c r="A7" s="158" t="s">
        <v>143</v>
      </c>
      <c r="B7" s="40" t="s">
        <v>144</v>
      </c>
      <c r="C7" s="15"/>
      <c r="D7" s="103">
        <v>54791</v>
      </c>
      <c r="E7" s="41">
        <v>31249216</v>
      </c>
      <c r="F7" s="18"/>
      <c r="G7" s="103">
        <v>163888</v>
      </c>
      <c r="H7" s="41">
        <v>961370305</v>
      </c>
      <c r="I7" s="18"/>
      <c r="J7" s="103">
        <v>218679</v>
      </c>
      <c r="K7" s="42">
        <v>992619521</v>
      </c>
    </row>
    <row r="8" spans="1:11" ht="30" customHeight="1">
      <c r="A8" s="159"/>
      <c r="B8" s="23" t="s">
        <v>145</v>
      </c>
      <c r="C8" s="15"/>
      <c r="D8" s="104">
        <v>99396</v>
      </c>
      <c r="E8" s="105">
        <v>36443825</v>
      </c>
      <c r="F8" s="18"/>
      <c r="G8" s="104">
        <v>78252</v>
      </c>
      <c r="H8" s="105">
        <v>37811178</v>
      </c>
      <c r="I8" s="18"/>
      <c r="J8" s="104">
        <v>177648</v>
      </c>
      <c r="K8" s="106">
        <v>74255004</v>
      </c>
    </row>
    <row r="9" spans="1:11" s="3" customFormat="1" ht="30" customHeight="1">
      <c r="A9" s="159"/>
      <c r="B9" s="24" t="s">
        <v>146</v>
      </c>
      <c r="C9" s="16"/>
      <c r="D9" s="107">
        <v>154187</v>
      </c>
      <c r="E9" s="108">
        <v>67693042</v>
      </c>
      <c r="F9" s="16"/>
      <c r="G9" s="107">
        <v>242140</v>
      </c>
      <c r="H9" s="108">
        <v>999181483</v>
      </c>
      <c r="I9" s="16"/>
      <c r="J9" s="107">
        <v>396327</v>
      </c>
      <c r="K9" s="109">
        <v>1066874525</v>
      </c>
    </row>
    <row r="10" spans="1:11" ht="30" customHeight="1">
      <c r="A10" s="160"/>
      <c r="B10" s="25" t="s">
        <v>147</v>
      </c>
      <c r="C10" s="15"/>
      <c r="D10" s="110">
        <v>4254</v>
      </c>
      <c r="E10" s="111">
        <v>3058020</v>
      </c>
      <c r="F10" s="15"/>
      <c r="G10" s="110">
        <v>11233</v>
      </c>
      <c r="H10" s="111">
        <v>103538286</v>
      </c>
      <c r="I10" s="15"/>
      <c r="J10" s="110">
        <v>15487</v>
      </c>
      <c r="K10" s="112">
        <v>106596306</v>
      </c>
    </row>
    <row r="11" spans="1:11" ht="30" customHeight="1">
      <c r="A11" s="161" t="s">
        <v>148</v>
      </c>
      <c r="B11" s="58" t="s">
        <v>149</v>
      </c>
      <c r="C11" s="9"/>
      <c r="D11" s="113">
        <v>11103</v>
      </c>
      <c r="E11" s="20">
        <v>1957600</v>
      </c>
      <c r="F11" s="37"/>
      <c r="G11" s="114">
        <v>14206</v>
      </c>
      <c r="H11" s="20">
        <v>3340655</v>
      </c>
      <c r="I11" s="37"/>
      <c r="J11" s="114">
        <v>25309</v>
      </c>
      <c r="K11" s="21">
        <v>5298255</v>
      </c>
    </row>
    <row r="12" spans="1:11" ht="30" customHeight="1">
      <c r="A12" s="162"/>
      <c r="B12" s="59" t="s">
        <v>150</v>
      </c>
      <c r="C12" s="38"/>
      <c r="D12" s="104">
        <v>1288</v>
      </c>
      <c r="E12" s="105">
        <v>216387</v>
      </c>
      <c r="F12" s="39"/>
      <c r="G12" s="115">
        <v>1651</v>
      </c>
      <c r="H12" s="105">
        <v>1286470</v>
      </c>
      <c r="I12" s="39"/>
      <c r="J12" s="115">
        <v>2939</v>
      </c>
      <c r="K12" s="106">
        <v>1502856</v>
      </c>
    </row>
    <row r="13" spans="1:11" s="3" customFormat="1" ht="30" customHeight="1">
      <c r="A13" s="163" t="s">
        <v>6</v>
      </c>
      <c r="B13" s="164"/>
      <c r="C13" s="26" t="s">
        <v>14</v>
      </c>
      <c r="D13" s="116">
        <v>164344</v>
      </c>
      <c r="E13" s="117">
        <v>66376235</v>
      </c>
      <c r="F13" s="26" t="s">
        <v>14</v>
      </c>
      <c r="G13" s="116">
        <v>255276</v>
      </c>
      <c r="H13" s="117">
        <v>897697383</v>
      </c>
      <c r="I13" s="26" t="s">
        <v>14</v>
      </c>
      <c r="J13" s="116">
        <v>419620</v>
      </c>
      <c r="K13" s="118">
        <v>964073618</v>
      </c>
    </row>
    <row r="14" spans="1:11" ht="30" customHeight="1" thickBot="1">
      <c r="A14" s="165" t="s">
        <v>7</v>
      </c>
      <c r="B14" s="166"/>
      <c r="C14" s="17"/>
      <c r="D14" s="119">
        <v>10779</v>
      </c>
      <c r="E14" s="120">
        <v>387423</v>
      </c>
      <c r="F14" s="19"/>
      <c r="G14" s="119">
        <v>10516</v>
      </c>
      <c r="H14" s="120">
        <v>628103</v>
      </c>
      <c r="I14" s="19"/>
      <c r="J14" s="119">
        <v>21295</v>
      </c>
      <c r="K14" s="121">
        <v>1015527</v>
      </c>
    </row>
    <row r="15" spans="1:11" s="4" customFormat="1" ht="37.5" customHeight="1">
      <c r="A15" s="56" t="s">
        <v>138</v>
      </c>
      <c r="B15" s="167" t="s">
        <v>161</v>
      </c>
      <c r="C15" s="167"/>
      <c r="D15" s="167"/>
      <c r="E15" s="167"/>
      <c r="F15" s="167"/>
      <c r="G15" s="167"/>
      <c r="H15" s="167"/>
      <c r="I15" s="167"/>
      <c r="J15" s="167"/>
      <c r="K15" s="167"/>
    </row>
    <row r="16" spans="2:11" ht="45" customHeight="1">
      <c r="B16" s="157" t="s">
        <v>162</v>
      </c>
      <c r="C16" s="157"/>
      <c r="D16" s="157"/>
      <c r="E16" s="157"/>
      <c r="F16" s="157"/>
      <c r="G16" s="157"/>
      <c r="H16" s="157"/>
      <c r="I16" s="157"/>
      <c r="J16" s="157"/>
      <c r="K16" s="157"/>
    </row>
    <row r="17" ht="14.25" customHeight="1">
      <c r="A17" s="1" t="s">
        <v>159</v>
      </c>
    </row>
    <row r="18" ht="11.25">
      <c r="A18" s="62" t="s">
        <v>160</v>
      </c>
    </row>
  </sheetData>
  <sheetProtection/>
  <mergeCells count="15">
    <mergeCell ref="A1:K1"/>
    <mergeCell ref="A3:K3"/>
    <mergeCell ref="A4:B5"/>
    <mergeCell ref="C4:E4"/>
    <mergeCell ref="F4:H4"/>
    <mergeCell ref="I4:K4"/>
    <mergeCell ref="C5:D5"/>
    <mergeCell ref="F5:G5"/>
    <mergeCell ref="I5:J5"/>
    <mergeCell ref="B16:K16"/>
    <mergeCell ref="A7:A10"/>
    <mergeCell ref="A11:A12"/>
    <mergeCell ref="A13:B13"/>
    <mergeCell ref="A14:B14"/>
    <mergeCell ref="B15:K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61" customWidth="1"/>
    <col min="2" max="2" width="15.625" style="61" customWidth="1"/>
    <col min="3" max="3" width="8.625" style="61" customWidth="1"/>
    <col min="4" max="4" width="10.625" style="61" customWidth="1"/>
    <col min="5" max="5" width="8.625" style="61" customWidth="1"/>
    <col min="6" max="6" width="12.875" style="61" bestFit="1" customWidth="1"/>
    <col min="7" max="7" width="8.625" style="61" customWidth="1"/>
    <col min="8" max="8" width="12.875" style="61" bestFit="1" customWidth="1"/>
    <col min="9" max="16384" width="9.00390625" style="61" customWidth="1"/>
  </cols>
  <sheetData>
    <row r="1" s="1" customFormat="1" ht="12" thickBot="1">
      <c r="A1" s="1" t="s">
        <v>24</v>
      </c>
    </row>
    <row r="2" spans="1:8" s="1" customFormat="1" ht="15" customHeight="1">
      <c r="A2" s="170" t="s">
        <v>1</v>
      </c>
      <c r="B2" s="171"/>
      <c r="C2" s="180" t="s">
        <v>15</v>
      </c>
      <c r="D2" s="180"/>
      <c r="E2" s="180" t="s">
        <v>17</v>
      </c>
      <c r="F2" s="180"/>
      <c r="G2" s="181" t="s">
        <v>18</v>
      </c>
      <c r="H2" s="182"/>
    </row>
    <row r="3" spans="1:8" s="1" customFormat="1" ht="15" customHeight="1">
      <c r="A3" s="172"/>
      <c r="B3" s="173"/>
      <c r="C3" s="9" t="s">
        <v>19</v>
      </c>
      <c r="D3" s="6" t="s">
        <v>20</v>
      </c>
      <c r="E3" s="9" t="s">
        <v>19</v>
      </c>
      <c r="F3" s="7" t="s">
        <v>20</v>
      </c>
      <c r="G3" s="9" t="s">
        <v>19</v>
      </c>
      <c r="H3" s="8" t="s">
        <v>20</v>
      </c>
    </row>
    <row r="4" spans="1:8" s="10" customFormat="1" ht="15" customHeight="1">
      <c r="A4" s="48"/>
      <c r="B4" s="6"/>
      <c r="C4" s="49" t="s">
        <v>4</v>
      </c>
      <c r="D4" s="50" t="s">
        <v>5</v>
      </c>
      <c r="E4" s="49" t="s">
        <v>4</v>
      </c>
      <c r="F4" s="50" t="s">
        <v>5</v>
      </c>
      <c r="G4" s="49" t="s">
        <v>4</v>
      </c>
      <c r="H4" s="51" t="s">
        <v>5</v>
      </c>
    </row>
    <row r="5" spans="1:8" s="60" customFormat="1" ht="30" customHeight="1">
      <c r="A5" s="185" t="s">
        <v>163</v>
      </c>
      <c r="B5" s="40" t="s">
        <v>12</v>
      </c>
      <c r="C5" s="47">
        <v>180059</v>
      </c>
      <c r="D5" s="41">
        <v>50344418</v>
      </c>
      <c r="E5" s="47">
        <v>252610</v>
      </c>
      <c r="F5" s="41">
        <v>715052639</v>
      </c>
      <c r="G5" s="47">
        <v>432669</v>
      </c>
      <c r="H5" s="42">
        <v>765397057</v>
      </c>
    </row>
    <row r="6" spans="1:8" s="60" customFormat="1" ht="30" customHeight="1">
      <c r="A6" s="186"/>
      <c r="B6" s="25" t="s">
        <v>13</v>
      </c>
      <c r="C6" s="28">
        <v>3935</v>
      </c>
      <c r="D6" s="29">
        <v>2582616</v>
      </c>
      <c r="E6" s="28">
        <v>9896</v>
      </c>
      <c r="F6" s="29">
        <v>50431758</v>
      </c>
      <c r="G6" s="28">
        <v>13831</v>
      </c>
      <c r="H6" s="30">
        <v>53014374</v>
      </c>
    </row>
    <row r="7" spans="1:8" s="60" customFormat="1" ht="30" customHeight="1">
      <c r="A7" s="187" t="s">
        <v>25</v>
      </c>
      <c r="B7" s="22" t="s">
        <v>12</v>
      </c>
      <c r="C7" s="27">
        <v>161653</v>
      </c>
      <c r="D7" s="20">
        <v>47588245</v>
      </c>
      <c r="E7" s="27">
        <v>247081</v>
      </c>
      <c r="F7" s="20">
        <v>713005917</v>
      </c>
      <c r="G7" s="27">
        <v>408734</v>
      </c>
      <c r="H7" s="21">
        <v>760594162</v>
      </c>
    </row>
    <row r="8" spans="1:8" s="60" customFormat="1" ht="30" customHeight="1">
      <c r="A8" s="188"/>
      <c r="B8" s="25" t="s">
        <v>13</v>
      </c>
      <c r="C8" s="28">
        <v>3599</v>
      </c>
      <c r="D8" s="29">
        <v>1816607</v>
      </c>
      <c r="E8" s="28">
        <v>9339</v>
      </c>
      <c r="F8" s="29">
        <v>47610584</v>
      </c>
      <c r="G8" s="28">
        <v>12938</v>
      </c>
      <c r="H8" s="30">
        <v>49427191</v>
      </c>
    </row>
    <row r="9" spans="1:8" s="60" customFormat="1" ht="30" customHeight="1">
      <c r="A9" s="185" t="s">
        <v>164</v>
      </c>
      <c r="B9" s="22" t="s">
        <v>12</v>
      </c>
      <c r="C9" s="27">
        <v>154864</v>
      </c>
      <c r="D9" s="20">
        <v>47325149</v>
      </c>
      <c r="E9" s="27">
        <v>243582</v>
      </c>
      <c r="F9" s="20">
        <v>714900303</v>
      </c>
      <c r="G9" s="27">
        <v>398446</v>
      </c>
      <c r="H9" s="21">
        <v>762225451</v>
      </c>
    </row>
    <row r="10" spans="1:8" s="60" customFormat="1" ht="30" customHeight="1">
      <c r="A10" s="186"/>
      <c r="B10" s="25" t="s">
        <v>13</v>
      </c>
      <c r="C10" s="28">
        <v>3358</v>
      </c>
      <c r="D10" s="29">
        <v>1678378</v>
      </c>
      <c r="E10" s="28">
        <v>9239</v>
      </c>
      <c r="F10" s="29">
        <v>47702366</v>
      </c>
      <c r="G10" s="28">
        <v>12597</v>
      </c>
      <c r="H10" s="30">
        <v>49380744</v>
      </c>
    </row>
    <row r="11" spans="1:8" s="60" customFormat="1" ht="30" customHeight="1">
      <c r="A11" s="187" t="s">
        <v>137</v>
      </c>
      <c r="B11" s="22" t="s">
        <v>12</v>
      </c>
      <c r="C11" s="27">
        <v>153291</v>
      </c>
      <c r="D11" s="20">
        <v>47590119</v>
      </c>
      <c r="E11" s="27">
        <v>242311</v>
      </c>
      <c r="F11" s="20">
        <v>717440265</v>
      </c>
      <c r="G11" s="27">
        <v>395602</v>
      </c>
      <c r="H11" s="21">
        <v>765030384</v>
      </c>
    </row>
    <row r="12" spans="1:8" s="60" customFormat="1" ht="30" customHeight="1">
      <c r="A12" s="188"/>
      <c r="B12" s="25" t="s">
        <v>13</v>
      </c>
      <c r="C12" s="28">
        <v>3643</v>
      </c>
      <c r="D12" s="29">
        <v>1892722</v>
      </c>
      <c r="E12" s="28">
        <v>10077</v>
      </c>
      <c r="F12" s="29">
        <v>55777195</v>
      </c>
      <c r="G12" s="28">
        <v>13720</v>
      </c>
      <c r="H12" s="30">
        <v>57669916</v>
      </c>
    </row>
    <row r="13" spans="1:8" s="1" customFormat="1" ht="30" customHeight="1">
      <c r="A13" s="183" t="s">
        <v>165</v>
      </c>
      <c r="B13" s="22" t="s">
        <v>12</v>
      </c>
      <c r="C13" s="27">
        <v>154187</v>
      </c>
      <c r="D13" s="20">
        <v>67693042</v>
      </c>
      <c r="E13" s="27">
        <v>242140</v>
      </c>
      <c r="F13" s="20">
        <v>999181483</v>
      </c>
      <c r="G13" s="27">
        <v>396327</v>
      </c>
      <c r="H13" s="21">
        <v>1066874525</v>
      </c>
    </row>
    <row r="14" spans="1:8" s="1" customFormat="1" ht="30" customHeight="1" thickBot="1">
      <c r="A14" s="184"/>
      <c r="B14" s="31" t="s">
        <v>13</v>
      </c>
      <c r="C14" s="32">
        <v>4254</v>
      </c>
      <c r="D14" s="33">
        <v>3058020</v>
      </c>
      <c r="E14" s="32">
        <v>11233</v>
      </c>
      <c r="F14" s="33">
        <v>103538286</v>
      </c>
      <c r="G14" s="32">
        <v>15487</v>
      </c>
      <c r="H14" s="34">
        <v>106596306</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61" customWidth="1"/>
    <col min="3" max="3" width="23.625" style="61" customWidth="1"/>
    <col min="4" max="4" width="18.625" style="61" customWidth="1"/>
    <col min="5" max="16384" width="9.00390625" style="61" customWidth="1"/>
  </cols>
  <sheetData>
    <row r="1" s="1" customFormat="1" ht="20.25" customHeight="1" thickBot="1">
      <c r="A1" s="1" t="s">
        <v>21</v>
      </c>
    </row>
    <row r="2" spans="1:4" s="4" customFormat="1" ht="19.5" customHeight="1">
      <c r="A2" s="11" t="s">
        <v>8</v>
      </c>
      <c r="B2" s="12" t="s">
        <v>9</v>
      </c>
      <c r="C2" s="13" t="s">
        <v>10</v>
      </c>
      <c r="D2" s="63" t="s">
        <v>26</v>
      </c>
    </row>
    <row r="3" spans="1:4" s="10" customFormat="1" ht="15" customHeight="1">
      <c r="A3" s="52" t="s">
        <v>4</v>
      </c>
      <c r="B3" s="53" t="s">
        <v>4</v>
      </c>
      <c r="C3" s="54" t="s">
        <v>4</v>
      </c>
      <c r="D3" s="55" t="s">
        <v>4</v>
      </c>
    </row>
    <row r="4" spans="1:9" s="4" customFormat="1" ht="30" customHeight="1" thickBot="1">
      <c r="A4" s="122">
        <v>414889</v>
      </c>
      <c r="B4" s="123">
        <v>10094</v>
      </c>
      <c r="C4" s="124">
        <v>1124</v>
      </c>
      <c r="D4" s="125">
        <v>426107</v>
      </c>
      <c r="E4" s="5"/>
      <c r="G4" s="5"/>
      <c r="I4" s="5"/>
    </row>
    <row r="5" spans="1:4" s="4" customFormat="1" ht="15" customHeight="1">
      <c r="A5" s="189" t="s">
        <v>166</v>
      </c>
      <c r="B5" s="189"/>
      <c r="C5" s="189"/>
      <c r="D5" s="189"/>
    </row>
    <row r="6" spans="1:4" s="4" customFormat="1" ht="15" customHeight="1">
      <c r="A6" s="190" t="s">
        <v>11</v>
      </c>
      <c r="B6" s="190"/>
      <c r="C6" s="190"/>
      <c r="D6" s="190"/>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97"/>
  <sheetViews>
    <sheetView zoomScalePageLayoutView="0" workbookViewId="0" topLeftCell="A1">
      <selection activeCell="A1" sqref="A1"/>
    </sheetView>
  </sheetViews>
  <sheetFormatPr defaultColWidth="9.00390625" defaultRowHeight="13.5"/>
  <cols>
    <col min="1" max="1" width="11.375" style="66" customWidth="1"/>
    <col min="2" max="2" width="10.625" style="66" customWidth="1"/>
    <col min="3" max="3" width="12.625" style="66" customWidth="1"/>
    <col min="4" max="4" width="10.625" style="66" customWidth="1"/>
    <col min="5" max="5" width="12.625" style="66" customWidth="1"/>
    <col min="6" max="6" width="10.625" style="66" customWidth="1"/>
    <col min="7" max="7" width="12.625" style="66" customWidth="1"/>
    <col min="8" max="8" width="10.625" style="66" customWidth="1"/>
    <col min="9" max="9" width="12.625" style="66" customWidth="1"/>
    <col min="10" max="10" width="10.625" style="66" customWidth="1"/>
    <col min="11" max="11" width="12.625" style="66" customWidth="1"/>
    <col min="12" max="12" width="10.625" style="66" customWidth="1"/>
    <col min="13" max="13" width="12.625" style="66" customWidth="1"/>
    <col min="14" max="14" width="11.375" style="66" customWidth="1"/>
    <col min="15" max="16384" width="9.00390625" style="66" customWidth="1"/>
  </cols>
  <sheetData>
    <row r="1" spans="1:14" ht="13.5">
      <c r="A1" s="64" t="s">
        <v>27</v>
      </c>
      <c r="B1" s="64"/>
      <c r="C1" s="64"/>
      <c r="D1" s="64"/>
      <c r="E1" s="64"/>
      <c r="F1" s="64"/>
      <c r="G1" s="64"/>
      <c r="H1" s="65"/>
      <c r="I1" s="65"/>
      <c r="J1" s="65"/>
      <c r="K1" s="65"/>
      <c r="L1" s="65"/>
      <c r="M1" s="65"/>
      <c r="N1" s="65"/>
    </row>
    <row r="2" spans="1:14" ht="14.25" thickBot="1">
      <c r="A2" s="201" t="s">
        <v>28</v>
      </c>
      <c r="B2" s="201"/>
      <c r="C2" s="201"/>
      <c r="D2" s="201"/>
      <c r="E2" s="201"/>
      <c r="F2" s="201"/>
      <c r="G2" s="201"/>
      <c r="H2" s="65"/>
      <c r="I2" s="65"/>
      <c r="J2" s="65"/>
      <c r="K2" s="65"/>
      <c r="L2" s="65"/>
      <c r="M2" s="65"/>
      <c r="N2" s="65"/>
    </row>
    <row r="3" spans="1:14" ht="19.5" customHeight="1">
      <c r="A3" s="202" t="s">
        <v>29</v>
      </c>
      <c r="B3" s="205" t="s">
        <v>30</v>
      </c>
      <c r="C3" s="205"/>
      <c r="D3" s="205"/>
      <c r="E3" s="205"/>
      <c r="F3" s="205"/>
      <c r="G3" s="205"/>
      <c r="H3" s="198" t="s">
        <v>13</v>
      </c>
      <c r="I3" s="199"/>
      <c r="J3" s="206" t="s">
        <v>31</v>
      </c>
      <c r="K3" s="199"/>
      <c r="L3" s="198" t="s">
        <v>32</v>
      </c>
      <c r="M3" s="199"/>
      <c r="N3" s="191" t="s">
        <v>33</v>
      </c>
    </row>
    <row r="4" spans="1:14" ht="17.25" customHeight="1">
      <c r="A4" s="203"/>
      <c r="B4" s="194" t="s">
        <v>16</v>
      </c>
      <c r="C4" s="194"/>
      <c r="D4" s="195" t="s">
        <v>34</v>
      </c>
      <c r="E4" s="196"/>
      <c r="F4" s="195" t="s">
        <v>35</v>
      </c>
      <c r="G4" s="196"/>
      <c r="H4" s="195"/>
      <c r="I4" s="200"/>
      <c r="J4" s="195"/>
      <c r="K4" s="200"/>
      <c r="L4" s="195"/>
      <c r="M4" s="200"/>
      <c r="N4" s="192"/>
    </row>
    <row r="5" spans="1:14" s="72" customFormat="1" ht="28.5" customHeight="1">
      <c r="A5" s="204"/>
      <c r="B5" s="67" t="s">
        <v>36</v>
      </c>
      <c r="C5" s="68" t="s">
        <v>37</v>
      </c>
      <c r="D5" s="67" t="s">
        <v>36</v>
      </c>
      <c r="E5" s="68" t="s">
        <v>37</v>
      </c>
      <c r="F5" s="67" t="s">
        <v>36</v>
      </c>
      <c r="G5" s="69" t="s">
        <v>38</v>
      </c>
      <c r="H5" s="67" t="s">
        <v>36</v>
      </c>
      <c r="I5" s="70" t="s">
        <v>39</v>
      </c>
      <c r="J5" s="67" t="s">
        <v>36</v>
      </c>
      <c r="K5" s="70" t="s">
        <v>40</v>
      </c>
      <c r="L5" s="67" t="s">
        <v>36</v>
      </c>
      <c r="M5" s="71" t="s">
        <v>41</v>
      </c>
      <c r="N5" s="193"/>
    </row>
    <row r="6" spans="1:14" s="78" customFormat="1" ht="10.5">
      <c r="A6" s="73"/>
      <c r="B6" s="74" t="s">
        <v>4</v>
      </c>
      <c r="C6" s="75" t="s">
        <v>5</v>
      </c>
      <c r="D6" s="74" t="s">
        <v>4</v>
      </c>
      <c r="E6" s="75" t="s">
        <v>5</v>
      </c>
      <c r="F6" s="74" t="s">
        <v>4</v>
      </c>
      <c r="G6" s="75" t="s">
        <v>5</v>
      </c>
      <c r="H6" s="74" t="s">
        <v>4</v>
      </c>
      <c r="I6" s="76" t="s">
        <v>5</v>
      </c>
      <c r="J6" s="74" t="s">
        <v>4</v>
      </c>
      <c r="K6" s="76" t="s">
        <v>5</v>
      </c>
      <c r="L6" s="74" t="s">
        <v>4</v>
      </c>
      <c r="M6" s="76" t="s">
        <v>5</v>
      </c>
      <c r="N6" s="77"/>
    </row>
    <row r="7" spans="1:14" s="81" customFormat="1" ht="15.75" customHeight="1">
      <c r="A7" s="79" t="s">
        <v>42</v>
      </c>
      <c r="B7" s="126">
        <f>_xlfn.COMPOUNDVALUE(1)</f>
        <v>1942</v>
      </c>
      <c r="C7" s="127">
        <v>1141100</v>
      </c>
      <c r="D7" s="126">
        <f>_xlfn.COMPOUNDVALUE(2)</f>
        <v>2815</v>
      </c>
      <c r="E7" s="127">
        <v>1048222</v>
      </c>
      <c r="F7" s="126">
        <f>_xlfn.COMPOUNDVALUE(3)</f>
        <v>4757</v>
      </c>
      <c r="G7" s="127">
        <v>2189321</v>
      </c>
      <c r="H7" s="126">
        <f>_xlfn.COMPOUNDVALUE(4)</f>
        <v>120</v>
      </c>
      <c r="I7" s="128">
        <v>63433</v>
      </c>
      <c r="J7" s="126">
        <v>370</v>
      </c>
      <c r="K7" s="128">
        <v>64430</v>
      </c>
      <c r="L7" s="126">
        <f>_xlfn.COMPOUNDVALUE(4)</f>
        <v>5073</v>
      </c>
      <c r="M7" s="128">
        <v>2190318</v>
      </c>
      <c r="N7" s="80" t="s">
        <v>42</v>
      </c>
    </row>
    <row r="8" spans="1:14" s="81" customFormat="1" ht="15.75" customHeight="1">
      <c r="A8" s="82" t="s">
        <v>43</v>
      </c>
      <c r="B8" s="129">
        <f>_xlfn.COMPOUNDVALUE(5)</f>
        <v>864</v>
      </c>
      <c r="C8" s="130">
        <v>521288</v>
      </c>
      <c r="D8" s="129">
        <f>_xlfn.COMPOUNDVALUE(6)</f>
        <v>1157</v>
      </c>
      <c r="E8" s="130">
        <v>441735</v>
      </c>
      <c r="F8" s="129">
        <f>_xlfn.COMPOUNDVALUE(7)</f>
        <v>2021</v>
      </c>
      <c r="G8" s="130">
        <v>963022</v>
      </c>
      <c r="H8" s="129">
        <f>_xlfn.COMPOUNDVALUE(8)</f>
        <v>60</v>
      </c>
      <c r="I8" s="131">
        <v>26273</v>
      </c>
      <c r="J8" s="129">
        <v>252</v>
      </c>
      <c r="K8" s="131">
        <v>25588</v>
      </c>
      <c r="L8" s="129">
        <f>_xlfn.COMPOUNDVALUE(8)</f>
        <v>2148</v>
      </c>
      <c r="M8" s="131">
        <v>962337</v>
      </c>
      <c r="N8" s="83" t="s">
        <v>43</v>
      </c>
    </row>
    <row r="9" spans="1:14" s="81" customFormat="1" ht="15.75" customHeight="1">
      <c r="A9" s="82" t="s">
        <v>44</v>
      </c>
      <c r="B9" s="129">
        <f>_xlfn.COMPOUNDVALUE(9)</f>
        <v>1700</v>
      </c>
      <c r="C9" s="130">
        <v>1020846</v>
      </c>
      <c r="D9" s="129">
        <f>_xlfn.COMPOUNDVALUE(10)</f>
        <v>2519</v>
      </c>
      <c r="E9" s="130">
        <v>923222</v>
      </c>
      <c r="F9" s="129">
        <f>_xlfn.COMPOUNDVALUE(11)</f>
        <v>4219</v>
      </c>
      <c r="G9" s="130">
        <v>1944068</v>
      </c>
      <c r="H9" s="129">
        <f>_xlfn.COMPOUNDVALUE(12)</f>
        <v>143</v>
      </c>
      <c r="I9" s="131">
        <v>110057</v>
      </c>
      <c r="J9" s="129">
        <v>348</v>
      </c>
      <c r="K9" s="131">
        <v>36409</v>
      </c>
      <c r="L9" s="129">
        <f>_xlfn.COMPOUNDVALUE(12)</f>
        <v>4498</v>
      </c>
      <c r="M9" s="131">
        <v>1870420</v>
      </c>
      <c r="N9" s="83" t="s">
        <v>44</v>
      </c>
    </row>
    <row r="10" spans="1:14" s="81" customFormat="1" ht="15.75" customHeight="1">
      <c r="A10" s="82" t="s">
        <v>45</v>
      </c>
      <c r="B10" s="129">
        <f>_xlfn.COMPOUNDVALUE(13)</f>
        <v>879</v>
      </c>
      <c r="C10" s="130">
        <v>446297</v>
      </c>
      <c r="D10" s="129">
        <f>_xlfn.COMPOUNDVALUE(14)</f>
        <v>1987</v>
      </c>
      <c r="E10" s="130">
        <v>655541</v>
      </c>
      <c r="F10" s="129">
        <f>_xlfn.COMPOUNDVALUE(15)</f>
        <v>2866</v>
      </c>
      <c r="G10" s="130">
        <v>1101838</v>
      </c>
      <c r="H10" s="129">
        <f>_xlfn.COMPOUNDVALUE(16)</f>
        <v>57</v>
      </c>
      <c r="I10" s="131">
        <v>34168</v>
      </c>
      <c r="J10" s="129">
        <v>205</v>
      </c>
      <c r="K10" s="131">
        <v>31018</v>
      </c>
      <c r="L10" s="129">
        <f>_xlfn.COMPOUNDVALUE(16)</f>
        <v>3043</v>
      </c>
      <c r="M10" s="131">
        <v>1098689</v>
      </c>
      <c r="N10" s="83" t="s">
        <v>45</v>
      </c>
    </row>
    <row r="11" spans="1:14" s="81" customFormat="1" ht="15.75" customHeight="1">
      <c r="A11" s="82" t="s">
        <v>46</v>
      </c>
      <c r="B11" s="129">
        <f>_xlfn.COMPOUNDVALUE(17)</f>
        <v>1434</v>
      </c>
      <c r="C11" s="130">
        <v>812054</v>
      </c>
      <c r="D11" s="129">
        <f>_xlfn.COMPOUNDVALUE(18)</f>
        <v>2753</v>
      </c>
      <c r="E11" s="130">
        <v>942091</v>
      </c>
      <c r="F11" s="129">
        <f>_xlfn.COMPOUNDVALUE(19)</f>
        <v>4187</v>
      </c>
      <c r="G11" s="130">
        <v>1754144</v>
      </c>
      <c r="H11" s="129">
        <f>_xlfn.COMPOUNDVALUE(20)</f>
        <v>127</v>
      </c>
      <c r="I11" s="131">
        <v>77717</v>
      </c>
      <c r="J11" s="129">
        <v>285</v>
      </c>
      <c r="K11" s="131">
        <v>37262</v>
      </c>
      <c r="L11" s="129">
        <f>_xlfn.COMPOUNDVALUE(20)</f>
        <v>4482</v>
      </c>
      <c r="M11" s="131">
        <v>1713688</v>
      </c>
      <c r="N11" s="83" t="s">
        <v>46</v>
      </c>
    </row>
    <row r="12" spans="1:14" s="81" customFormat="1" ht="15.75" customHeight="1">
      <c r="A12" s="82" t="s">
        <v>47</v>
      </c>
      <c r="B12" s="129">
        <f>_xlfn.COMPOUNDVALUE(21)</f>
        <v>1241</v>
      </c>
      <c r="C12" s="130">
        <v>1123607</v>
      </c>
      <c r="D12" s="129">
        <f>_xlfn.COMPOUNDVALUE(22)</f>
        <v>1895</v>
      </c>
      <c r="E12" s="130">
        <v>695875</v>
      </c>
      <c r="F12" s="129">
        <f>_xlfn.COMPOUNDVALUE(23)</f>
        <v>3136</v>
      </c>
      <c r="G12" s="130">
        <v>1819482</v>
      </c>
      <c r="H12" s="129">
        <f>_xlfn.COMPOUNDVALUE(24)</f>
        <v>101</v>
      </c>
      <c r="I12" s="131">
        <v>67040</v>
      </c>
      <c r="J12" s="129">
        <v>225</v>
      </c>
      <c r="K12" s="131">
        <v>61348</v>
      </c>
      <c r="L12" s="129">
        <f>_xlfn.COMPOUNDVALUE(24)</f>
        <v>3367</v>
      </c>
      <c r="M12" s="131">
        <v>1813789</v>
      </c>
      <c r="N12" s="83" t="s">
        <v>48</v>
      </c>
    </row>
    <row r="13" spans="1:14" s="81" customFormat="1" ht="15.75" customHeight="1">
      <c r="A13" s="82" t="s">
        <v>49</v>
      </c>
      <c r="B13" s="129">
        <f>_xlfn.COMPOUNDVALUE(25)</f>
        <v>1310</v>
      </c>
      <c r="C13" s="130">
        <v>671880</v>
      </c>
      <c r="D13" s="129">
        <f>_xlfn.COMPOUNDVALUE(26)</f>
        <v>1821</v>
      </c>
      <c r="E13" s="130">
        <v>664676</v>
      </c>
      <c r="F13" s="129">
        <f>_xlfn.COMPOUNDVALUE(27)</f>
        <v>3131</v>
      </c>
      <c r="G13" s="130">
        <v>1336557</v>
      </c>
      <c r="H13" s="129">
        <f>_xlfn.COMPOUNDVALUE(28)</f>
        <v>98</v>
      </c>
      <c r="I13" s="131">
        <v>60579</v>
      </c>
      <c r="J13" s="129">
        <v>230</v>
      </c>
      <c r="K13" s="131">
        <v>32120</v>
      </c>
      <c r="L13" s="129">
        <f>_xlfn.COMPOUNDVALUE(28)</f>
        <v>3367</v>
      </c>
      <c r="M13" s="131">
        <v>1308098</v>
      </c>
      <c r="N13" s="83" t="s">
        <v>49</v>
      </c>
    </row>
    <row r="14" spans="1:14" s="81" customFormat="1" ht="15.75" customHeight="1">
      <c r="A14" s="82" t="s">
        <v>50</v>
      </c>
      <c r="B14" s="129">
        <f>_xlfn.COMPOUNDVALUE(29)</f>
        <v>1628</v>
      </c>
      <c r="C14" s="130">
        <v>1035144</v>
      </c>
      <c r="D14" s="129">
        <f>_xlfn.COMPOUNDVALUE(30)</f>
        <v>3090</v>
      </c>
      <c r="E14" s="130">
        <v>1186247</v>
      </c>
      <c r="F14" s="129">
        <f>_xlfn.COMPOUNDVALUE(31)</f>
        <v>4718</v>
      </c>
      <c r="G14" s="130">
        <v>2221391</v>
      </c>
      <c r="H14" s="129">
        <f>_xlfn.COMPOUNDVALUE(32)</f>
        <v>103</v>
      </c>
      <c r="I14" s="131">
        <v>66320</v>
      </c>
      <c r="J14" s="129">
        <v>306</v>
      </c>
      <c r="K14" s="131">
        <v>28807</v>
      </c>
      <c r="L14" s="129">
        <f>_xlfn.COMPOUNDVALUE(32)</f>
        <v>4915</v>
      </c>
      <c r="M14" s="131">
        <v>2183878</v>
      </c>
      <c r="N14" s="83" t="s">
        <v>50</v>
      </c>
    </row>
    <row r="15" spans="1:14" s="81" customFormat="1" ht="15.75" customHeight="1">
      <c r="A15" s="84" t="s">
        <v>51</v>
      </c>
      <c r="B15" s="132">
        <v>10998</v>
      </c>
      <c r="C15" s="133">
        <v>6772215</v>
      </c>
      <c r="D15" s="132">
        <v>18037</v>
      </c>
      <c r="E15" s="133">
        <v>6557609</v>
      </c>
      <c r="F15" s="132">
        <v>29035</v>
      </c>
      <c r="G15" s="133">
        <v>13329823</v>
      </c>
      <c r="H15" s="132">
        <v>809</v>
      </c>
      <c r="I15" s="134">
        <v>505586</v>
      </c>
      <c r="J15" s="132">
        <v>2221</v>
      </c>
      <c r="K15" s="134">
        <v>316981</v>
      </c>
      <c r="L15" s="132">
        <v>30893</v>
      </c>
      <c r="M15" s="134">
        <v>13141218</v>
      </c>
      <c r="N15" s="85" t="s">
        <v>52</v>
      </c>
    </row>
    <row r="16" spans="1:14" s="81" customFormat="1" ht="15.75" customHeight="1">
      <c r="A16" s="86"/>
      <c r="B16" s="135"/>
      <c r="C16" s="136"/>
      <c r="D16" s="135"/>
      <c r="E16" s="136"/>
      <c r="F16" s="137"/>
      <c r="G16" s="136"/>
      <c r="H16" s="137"/>
      <c r="I16" s="136"/>
      <c r="J16" s="137"/>
      <c r="K16" s="136"/>
      <c r="L16" s="137"/>
      <c r="M16" s="136"/>
      <c r="N16" s="87"/>
    </row>
    <row r="17" spans="1:14" s="81" customFormat="1" ht="15.75" customHeight="1">
      <c r="A17" s="79" t="s">
        <v>53</v>
      </c>
      <c r="B17" s="126">
        <f>_xlfn.COMPOUNDVALUE(33)</f>
        <v>1313</v>
      </c>
      <c r="C17" s="127">
        <v>757545</v>
      </c>
      <c r="D17" s="126">
        <f>_xlfn.COMPOUNDVALUE(34)</f>
        <v>2365</v>
      </c>
      <c r="E17" s="127">
        <v>872553</v>
      </c>
      <c r="F17" s="126">
        <f>_xlfn.COMPOUNDVALUE(35)</f>
        <v>3678</v>
      </c>
      <c r="G17" s="127">
        <v>1630099</v>
      </c>
      <c r="H17" s="126">
        <f>_xlfn.COMPOUNDVALUE(36)</f>
        <v>111</v>
      </c>
      <c r="I17" s="128">
        <v>77816</v>
      </c>
      <c r="J17" s="126">
        <v>281</v>
      </c>
      <c r="K17" s="128">
        <v>51548</v>
      </c>
      <c r="L17" s="126">
        <f>_xlfn.COMPOUNDVALUE(36)</f>
        <v>3948</v>
      </c>
      <c r="M17" s="128">
        <v>1603831</v>
      </c>
      <c r="N17" s="88" t="s">
        <v>53</v>
      </c>
    </row>
    <row r="18" spans="1:14" s="81" customFormat="1" ht="15.75" customHeight="1">
      <c r="A18" s="82" t="s">
        <v>54</v>
      </c>
      <c r="B18" s="129">
        <f>_xlfn.COMPOUNDVALUE(37)</f>
        <v>474</v>
      </c>
      <c r="C18" s="130">
        <v>268368</v>
      </c>
      <c r="D18" s="129">
        <f>_xlfn.COMPOUNDVALUE(38)</f>
        <v>778</v>
      </c>
      <c r="E18" s="130">
        <v>285249</v>
      </c>
      <c r="F18" s="129">
        <f>_xlfn.COMPOUNDVALUE(39)</f>
        <v>1252</v>
      </c>
      <c r="G18" s="130">
        <v>553617</v>
      </c>
      <c r="H18" s="129">
        <f>_xlfn.COMPOUNDVALUE(40)</f>
        <v>39</v>
      </c>
      <c r="I18" s="131">
        <v>29704</v>
      </c>
      <c r="J18" s="129">
        <v>94</v>
      </c>
      <c r="K18" s="131">
        <v>14245</v>
      </c>
      <c r="L18" s="129">
        <f>_xlfn.COMPOUNDVALUE(40)</f>
        <v>1333</v>
      </c>
      <c r="M18" s="131">
        <v>538158</v>
      </c>
      <c r="N18" s="83" t="s">
        <v>54</v>
      </c>
    </row>
    <row r="19" spans="1:14" s="81" customFormat="1" ht="15.75" customHeight="1">
      <c r="A19" s="82" t="s">
        <v>55</v>
      </c>
      <c r="B19" s="129">
        <f>_xlfn.COMPOUNDVALUE(41)</f>
        <v>1367</v>
      </c>
      <c r="C19" s="130">
        <v>707092</v>
      </c>
      <c r="D19" s="129">
        <f>_xlfn.COMPOUNDVALUE(42)</f>
        <v>2497</v>
      </c>
      <c r="E19" s="130">
        <v>815844</v>
      </c>
      <c r="F19" s="129">
        <f>_xlfn.COMPOUNDVALUE(43)</f>
        <v>3864</v>
      </c>
      <c r="G19" s="130">
        <v>1522937</v>
      </c>
      <c r="H19" s="129">
        <f>_xlfn.COMPOUNDVALUE(44)</f>
        <v>134</v>
      </c>
      <c r="I19" s="131">
        <v>87922</v>
      </c>
      <c r="J19" s="129">
        <v>261</v>
      </c>
      <c r="K19" s="131">
        <v>40069</v>
      </c>
      <c r="L19" s="129">
        <f>_xlfn.COMPOUNDVALUE(44)</f>
        <v>4160</v>
      </c>
      <c r="M19" s="131">
        <v>1475083</v>
      </c>
      <c r="N19" s="83" t="s">
        <v>55</v>
      </c>
    </row>
    <row r="20" spans="1:14" s="81" customFormat="1" ht="15.75" customHeight="1">
      <c r="A20" s="82" t="s">
        <v>56</v>
      </c>
      <c r="B20" s="129">
        <f>_xlfn.COMPOUNDVALUE(45)</f>
        <v>408</v>
      </c>
      <c r="C20" s="130">
        <v>185958</v>
      </c>
      <c r="D20" s="129">
        <f>_xlfn.COMPOUNDVALUE(46)</f>
        <v>678</v>
      </c>
      <c r="E20" s="130">
        <v>231384</v>
      </c>
      <c r="F20" s="129">
        <f>_xlfn.COMPOUNDVALUE(47)</f>
        <v>1086</v>
      </c>
      <c r="G20" s="130">
        <v>417343</v>
      </c>
      <c r="H20" s="129">
        <f>_xlfn.COMPOUNDVALUE(48)</f>
        <v>47</v>
      </c>
      <c r="I20" s="131">
        <v>28485</v>
      </c>
      <c r="J20" s="129">
        <v>55</v>
      </c>
      <c r="K20" s="131">
        <v>7111</v>
      </c>
      <c r="L20" s="129">
        <f>_xlfn.COMPOUNDVALUE(48)</f>
        <v>1158</v>
      </c>
      <c r="M20" s="131">
        <v>395969</v>
      </c>
      <c r="N20" s="83" t="s">
        <v>56</v>
      </c>
    </row>
    <row r="21" spans="1:14" s="81" customFormat="1" ht="15.75" customHeight="1">
      <c r="A21" s="82" t="s">
        <v>57</v>
      </c>
      <c r="B21" s="129">
        <f>_xlfn.COMPOUNDVALUE(49)</f>
        <v>526</v>
      </c>
      <c r="C21" s="130">
        <v>229267</v>
      </c>
      <c r="D21" s="129">
        <f>_xlfn.COMPOUNDVALUE(50)</f>
        <v>1092</v>
      </c>
      <c r="E21" s="130">
        <v>357462</v>
      </c>
      <c r="F21" s="129">
        <f>_xlfn.COMPOUNDVALUE(51)</f>
        <v>1618</v>
      </c>
      <c r="G21" s="130">
        <v>586729</v>
      </c>
      <c r="H21" s="129">
        <f>_xlfn.COMPOUNDVALUE(52)</f>
        <v>55</v>
      </c>
      <c r="I21" s="131">
        <v>15031</v>
      </c>
      <c r="J21" s="129">
        <v>80</v>
      </c>
      <c r="K21" s="131">
        <v>6845</v>
      </c>
      <c r="L21" s="129">
        <f>_xlfn.COMPOUNDVALUE(52)</f>
        <v>1701</v>
      </c>
      <c r="M21" s="131">
        <v>578543</v>
      </c>
      <c r="N21" s="83" t="s">
        <v>57</v>
      </c>
    </row>
    <row r="22" spans="1:14" s="81" customFormat="1" ht="15.75" customHeight="1">
      <c r="A22" s="82" t="s">
        <v>58</v>
      </c>
      <c r="B22" s="129">
        <f>_xlfn.COMPOUNDVALUE(53)</f>
        <v>466</v>
      </c>
      <c r="C22" s="130">
        <v>224906</v>
      </c>
      <c r="D22" s="129">
        <f>_xlfn.COMPOUNDVALUE(54)</f>
        <v>1218</v>
      </c>
      <c r="E22" s="130">
        <v>379272</v>
      </c>
      <c r="F22" s="129">
        <f>_xlfn.COMPOUNDVALUE(55)</f>
        <v>1684</v>
      </c>
      <c r="G22" s="130">
        <v>604177</v>
      </c>
      <c r="H22" s="129">
        <f>_xlfn.COMPOUNDVALUE(56)</f>
        <v>54</v>
      </c>
      <c r="I22" s="131">
        <v>62485</v>
      </c>
      <c r="J22" s="129">
        <v>149</v>
      </c>
      <c r="K22" s="131">
        <v>10923</v>
      </c>
      <c r="L22" s="129">
        <f>_xlfn.COMPOUNDVALUE(56)</f>
        <v>1786</v>
      </c>
      <c r="M22" s="131">
        <v>552614</v>
      </c>
      <c r="N22" s="83" t="s">
        <v>58</v>
      </c>
    </row>
    <row r="23" spans="1:14" s="81" customFormat="1" ht="15.75" customHeight="1">
      <c r="A23" s="82" t="s">
        <v>59</v>
      </c>
      <c r="B23" s="129">
        <f>_xlfn.COMPOUNDVALUE(57)</f>
        <v>874</v>
      </c>
      <c r="C23" s="130">
        <v>433591</v>
      </c>
      <c r="D23" s="129">
        <f>_xlfn.COMPOUNDVALUE(58)</f>
        <v>1678</v>
      </c>
      <c r="E23" s="130">
        <v>569538</v>
      </c>
      <c r="F23" s="129">
        <f>_xlfn.COMPOUNDVALUE(59)</f>
        <v>2552</v>
      </c>
      <c r="G23" s="130">
        <v>1003129</v>
      </c>
      <c r="H23" s="129">
        <f>_xlfn.COMPOUNDVALUE(60)</f>
        <v>101</v>
      </c>
      <c r="I23" s="131">
        <v>60267</v>
      </c>
      <c r="J23" s="129">
        <v>158</v>
      </c>
      <c r="K23" s="131">
        <v>17271</v>
      </c>
      <c r="L23" s="129">
        <f>_xlfn.COMPOUNDVALUE(60)</f>
        <v>2732</v>
      </c>
      <c r="M23" s="131">
        <v>960133</v>
      </c>
      <c r="N23" s="83" t="s">
        <v>59</v>
      </c>
    </row>
    <row r="24" spans="1:14" s="81" customFormat="1" ht="15.75" customHeight="1">
      <c r="A24" s="82" t="s">
        <v>60</v>
      </c>
      <c r="B24" s="129">
        <f>_xlfn.COMPOUNDVALUE(61)</f>
        <v>481</v>
      </c>
      <c r="C24" s="130">
        <v>232766</v>
      </c>
      <c r="D24" s="129">
        <f>_xlfn.COMPOUNDVALUE(62)</f>
        <v>1109</v>
      </c>
      <c r="E24" s="130">
        <v>352731</v>
      </c>
      <c r="F24" s="129">
        <f>_xlfn.COMPOUNDVALUE(63)</f>
        <v>1590</v>
      </c>
      <c r="G24" s="130">
        <v>585498</v>
      </c>
      <c r="H24" s="129">
        <f>_xlfn.COMPOUNDVALUE(64)</f>
        <v>63</v>
      </c>
      <c r="I24" s="131">
        <v>34974</v>
      </c>
      <c r="J24" s="129">
        <v>95</v>
      </c>
      <c r="K24" s="131">
        <v>11478</v>
      </c>
      <c r="L24" s="129">
        <f>_xlfn.COMPOUNDVALUE(64)</f>
        <v>1700</v>
      </c>
      <c r="M24" s="131">
        <v>562002</v>
      </c>
      <c r="N24" s="83" t="s">
        <v>60</v>
      </c>
    </row>
    <row r="25" spans="1:14" s="81" customFormat="1" ht="15.75" customHeight="1">
      <c r="A25" s="84" t="s">
        <v>61</v>
      </c>
      <c r="B25" s="132">
        <v>5909</v>
      </c>
      <c r="C25" s="133">
        <v>3039494</v>
      </c>
      <c r="D25" s="132">
        <v>11415</v>
      </c>
      <c r="E25" s="133">
        <v>3864034</v>
      </c>
      <c r="F25" s="132">
        <v>17324</v>
      </c>
      <c r="G25" s="133">
        <v>6903528</v>
      </c>
      <c r="H25" s="132">
        <v>604</v>
      </c>
      <c r="I25" s="134">
        <v>396683</v>
      </c>
      <c r="J25" s="132">
        <v>1173</v>
      </c>
      <c r="K25" s="134">
        <v>159489</v>
      </c>
      <c r="L25" s="132">
        <v>18518</v>
      </c>
      <c r="M25" s="134">
        <v>6666334</v>
      </c>
      <c r="N25" s="85" t="s">
        <v>62</v>
      </c>
    </row>
    <row r="26" spans="1:14" s="81" customFormat="1" ht="15.75" customHeight="1">
      <c r="A26" s="86"/>
      <c r="B26" s="135"/>
      <c r="C26" s="136"/>
      <c r="D26" s="135"/>
      <c r="E26" s="136"/>
      <c r="F26" s="137"/>
      <c r="G26" s="136"/>
      <c r="H26" s="137"/>
      <c r="I26" s="136"/>
      <c r="J26" s="137"/>
      <c r="K26" s="136"/>
      <c r="L26" s="137"/>
      <c r="M26" s="136"/>
      <c r="N26" s="87"/>
    </row>
    <row r="27" spans="1:14" s="81" customFormat="1" ht="15.75" customHeight="1">
      <c r="A27" s="79" t="s">
        <v>63</v>
      </c>
      <c r="B27" s="126">
        <f>_xlfn.COMPOUNDVALUE(65)</f>
        <v>1132</v>
      </c>
      <c r="C27" s="127">
        <v>541342</v>
      </c>
      <c r="D27" s="126">
        <f>_xlfn.COMPOUNDVALUE(66)</f>
        <v>1617</v>
      </c>
      <c r="E27" s="127">
        <v>589908</v>
      </c>
      <c r="F27" s="126">
        <f>_xlfn.COMPOUNDVALUE(67)</f>
        <v>2749</v>
      </c>
      <c r="G27" s="127">
        <v>1131250</v>
      </c>
      <c r="H27" s="126">
        <f>_xlfn.COMPOUNDVALUE(68)</f>
        <v>96</v>
      </c>
      <c r="I27" s="128">
        <v>45738</v>
      </c>
      <c r="J27" s="126">
        <v>147</v>
      </c>
      <c r="K27" s="128">
        <v>11017</v>
      </c>
      <c r="L27" s="126">
        <f>_xlfn.COMPOUNDVALUE(68)</f>
        <v>2899</v>
      </c>
      <c r="M27" s="128">
        <v>1096529</v>
      </c>
      <c r="N27" s="88" t="s">
        <v>63</v>
      </c>
    </row>
    <row r="28" spans="1:14" s="81" customFormat="1" ht="15.75" customHeight="1">
      <c r="A28" s="79" t="s">
        <v>64</v>
      </c>
      <c r="B28" s="126">
        <f>_xlfn.COMPOUNDVALUE(69)</f>
        <v>1569</v>
      </c>
      <c r="C28" s="127">
        <v>885847</v>
      </c>
      <c r="D28" s="126">
        <f>_xlfn.COMPOUNDVALUE(70)</f>
        <v>2515</v>
      </c>
      <c r="E28" s="127">
        <v>913438</v>
      </c>
      <c r="F28" s="126">
        <f>_xlfn.COMPOUNDVALUE(71)</f>
        <v>4084</v>
      </c>
      <c r="G28" s="127">
        <v>1799284</v>
      </c>
      <c r="H28" s="126">
        <f>_xlfn.COMPOUNDVALUE(72)</f>
        <v>135</v>
      </c>
      <c r="I28" s="128">
        <v>68252</v>
      </c>
      <c r="J28" s="126">
        <v>280</v>
      </c>
      <c r="K28" s="128">
        <v>35160</v>
      </c>
      <c r="L28" s="126">
        <f>_xlfn.COMPOUNDVALUE(72)</f>
        <v>4394</v>
      </c>
      <c r="M28" s="128">
        <v>1766192</v>
      </c>
      <c r="N28" s="80" t="s">
        <v>64</v>
      </c>
    </row>
    <row r="29" spans="1:14" s="81" customFormat="1" ht="15.75" customHeight="1">
      <c r="A29" s="82" t="s">
        <v>65</v>
      </c>
      <c r="B29" s="129">
        <f>_xlfn.COMPOUNDVALUE(73)</f>
        <v>682</v>
      </c>
      <c r="C29" s="130">
        <v>345459</v>
      </c>
      <c r="D29" s="129">
        <f>_xlfn.COMPOUNDVALUE(74)</f>
        <v>1127</v>
      </c>
      <c r="E29" s="130">
        <v>390280</v>
      </c>
      <c r="F29" s="129">
        <f>_xlfn.COMPOUNDVALUE(75)</f>
        <v>1809</v>
      </c>
      <c r="G29" s="130">
        <v>735738</v>
      </c>
      <c r="H29" s="129">
        <f>_xlfn.COMPOUNDVALUE(76)</f>
        <v>48</v>
      </c>
      <c r="I29" s="131">
        <v>26968</v>
      </c>
      <c r="J29" s="129">
        <v>140</v>
      </c>
      <c r="K29" s="131">
        <v>20512</v>
      </c>
      <c r="L29" s="129">
        <f>_xlfn.COMPOUNDVALUE(76)</f>
        <v>1918</v>
      </c>
      <c r="M29" s="131">
        <v>729282</v>
      </c>
      <c r="N29" s="83" t="s">
        <v>65</v>
      </c>
    </row>
    <row r="30" spans="1:14" s="81" customFormat="1" ht="15.75" customHeight="1">
      <c r="A30" s="82" t="s">
        <v>66</v>
      </c>
      <c r="B30" s="129">
        <f>_xlfn.COMPOUNDVALUE(77)</f>
        <v>777</v>
      </c>
      <c r="C30" s="130">
        <v>423183</v>
      </c>
      <c r="D30" s="129">
        <f>_xlfn.COMPOUNDVALUE(78)</f>
        <v>1310</v>
      </c>
      <c r="E30" s="130">
        <v>426742</v>
      </c>
      <c r="F30" s="129">
        <f>_xlfn.COMPOUNDVALUE(79)</f>
        <v>2087</v>
      </c>
      <c r="G30" s="130">
        <v>849925</v>
      </c>
      <c r="H30" s="129">
        <f>_xlfn.COMPOUNDVALUE(80)</f>
        <v>69</v>
      </c>
      <c r="I30" s="131">
        <v>58720</v>
      </c>
      <c r="J30" s="129">
        <v>92</v>
      </c>
      <c r="K30" s="131">
        <v>25306</v>
      </c>
      <c r="L30" s="129">
        <f>_xlfn.COMPOUNDVALUE(80)</f>
        <v>2199</v>
      </c>
      <c r="M30" s="131">
        <v>816511</v>
      </c>
      <c r="N30" s="83" t="s">
        <v>66</v>
      </c>
    </row>
    <row r="31" spans="1:14" s="81" customFormat="1" ht="15.75" customHeight="1">
      <c r="A31" s="82" t="s">
        <v>67</v>
      </c>
      <c r="B31" s="129">
        <f>_xlfn.COMPOUNDVALUE(81)</f>
        <v>467</v>
      </c>
      <c r="C31" s="130">
        <v>326930</v>
      </c>
      <c r="D31" s="129">
        <f>_xlfn.COMPOUNDVALUE(82)</f>
        <v>939</v>
      </c>
      <c r="E31" s="130">
        <v>363759</v>
      </c>
      <c r="F31" s="129">
        <f>_xlfn.COMPOUNDVALUE(83)</f>
        <v>1406</v>
      </c>
      <c r="G31" s="130">
        <v>690688</v>
      </c>
      <c r="H31" s="129">
        <f>_xlfn.COMPOUNDVALUE(84)</f>
        <v>32</v>
      </c>
      <c r="I31" s="131">
        <v>15258</v>
      </c>
      <c r="J31" s="129">
        <v>149</v>
      </c>
      <c r="K31" s="131">
        <v>20790</v>
      </c>
      <c r="L31" s="129">
        <f>_xlfn.COMPOUNDVALUE(84)</f>
        <v>1494</v>
      </c>
      <c r="M31" s="131">
        <v>696220</v>
      </c>
      <c r="N31" s="83" t="s">
        <v>67</v>
      </c>
    </row>
    <row r="32" spans="1:14" s="81" customFormat="1" ht="15.75" customHeight="1">
      <c r="A32" s="82" t="s">
        <v>68</v>
      </c>
      <c r="B32" s="129">
        <f>_xlfn.COMPOUNDVALUE(85)</f>
        <v>1239</v>
      </c>
      <c r="C32" s="130">
        <v>631393</v>
      </c>
      <c r="D32" s="129">
        <f>_xlfn.COMPOUNDVALUE(86)</f>
        <v>2253</v>
      </c>
      <c r="E32" s="130">
        <v>792244</v>
      </c>
      <c r="F32" s="129">
        <f>_xlfn.COMPOUNDVALUE(87)</f>
        <v>3492</v>
      </c>
      <c r="G32" s="130">
        <v>1423637</v>
      </c>
      <c r="H32" s="129">
        <f>_xlfn.COMPOUNDVALUE(88)</f>
        <v>126</v>
      </c>
      <c r="I32" s="131">
        <v>103442</v>
      </c>
      <c r="J32" s="129">
        <v>184</v>
      </c>
      <c r="K32" s="131">
        <v>29606</v>
      </c>
      <c r="L32" s="129">
        <f>_xlfn.COMPOUNDVALUE(88)</f>
        <v>3731</v>
      </c>
      <c r="M32" s="131">
        <v>1349800</v>
      </c>
      <c r="N32" s="83" t="s">
        <v>68</v>
      </c>
    </row>
    <row r="33" spans="1:14" s="81" customFormat="1" ht="15.75" customHeight="1">
      <c r="A33" s="82" t="s">
        <v>69</v>
      </c>
      <c r="B33" s="129">
        <f>_xlfn.COMPOUNDVALUE(89)</f>
        <v>198</v>
      </c>
      <c r="C33" s="130">
        <v>119231</v>
      </c>
      <c r="D33" s="129">
        <f>_xlfn.COMPOUNDVALUE(90)</f>
        <v>357</v>
      </c>
      <c r="E33" s="130">
        <v>113345</v>
      </c>
      <c r="F33" s="129">
        <f>_xlfn.COMPOUNDVALUE(91)</f>
        <v>555</v>
      </c>
      <c r="G33" s="130">
        <v>232576</v>
      </c>
      <c r="H33" s="129">
        <f>_xlfn.COMPOUNDVALUE(92)</f>
        <v>15</v>
      </c>
      <c r="I33" s="131">
        <v>4603</v>
      </c>
      <c r="J33" s="129">
        <v>51</v>
      </c>
      <c r="K33" s="131">
        <v>4225</v>
      </c>
      <c r="L33" s="129">
        <f>_xlfn.COMPOUNDVALUE(92)</f>
        <v>590</v>
      </c>
      <c r="M33" s="131">
        <v>232198</v>
      </c>
      <c r="N33" s="83" t="s">
        <v>69</v>
      </c>
    </row>
    <row r="34" spans="1:14" s="81" customFormat="1" ht="15.75" customHeight="1">
      <c r="A34" s="82" t="s">
        <v>70</v>
      </c>
      <c r="B34" s="129">
        <f>_xlfn.COMPOUNDVALUE(93)</f>
        <v>343</v>
      </c>
      <c r="C34" s="130">
        <v>161303</v>
      </c>
      <c r="D34" s="129">
        <f>_xlfn.COMPOUNDVALUE(94)</f>
        <v>637</v>
      </c>
      <c r="E34" s="130">
        <v>214906</v>
      </c>
      <c r="F34" s="129">
        <f>_xlfn.COMPOUNDVALUE(95)</f>
        <v>980</v>
      </c>
      <c r="G34" s="130">
        <v>376208</v>
      </c>
      <c r="H34" s="129">
        <f>_xlfn.COMPOUNDVALUE(96)</f>
        <v>29</v>
      </c>
      <c r="I34" s="131">
        <v>11157</v>
      </c>
      <c r="J34" s="129">
        <v>35</v>
      </c>
      <c r="K34" s="131">
        <v>2835</v>
      </c>
      <c r="L34" s="129">
        <f>_xlfn.COMPOUNDVALUE(96)</f>
        <v>1026</v>
      </c>
      <c r="M34" s="131">
        <v>367886</v>
      </c>
      <c r="N34" s="83" t="s">
        <v>70</v>
      </c>
    </row>
    <row r="35" spans="1:14" s="81" customFormat="1" ht="15.75" customHeight="1">
      <c r="A35" s="82" t="s">
        <v>71</v>
      </c>
      <c r="B35" s="129">
        <f>_xlfn.COMPOUNDVALUE(97)</f>
        <v>270</v>
      </c>
      <c r="C35" s="130">
        <v>140814</v>
      </c>
      <c r="D35" s="129">
        <f>_xlfn.COMPOUNDVALUE(98)</f>
        <v>714</v>
      </c>
      <c r="E35" s="130">
        <v>381384</v>
      </c>
      <c r="F35" s="129">
        <f>_xlfn.COMPOUNDVALUE(99)</f>
        <v>984</v>
      </c>
      <c r="G35" s="130">
        <v>522198</v>
      </c>
      <c r="H35" s="129">
        <f>_xlfn.COMPOUNDVALUE(100)</f>
        <v>14</v>
      </c>
      <c r="I35" s="131">
        <v>13256</v>
      </c>
      <c r="J35" s="129">
        <v>69</v>
      </c>
      <c r="K35" s="131">
        <v>6107</v>
      </c>
      <c r="L35" s="129">
        <f>_xlfn.COMPOUNDVALUE(100)</f>
        <v>1010</v>
      </c>
      <c r="M35" s="131">
        <v>515049</v>
      </c>
      <c r="N35" s="83" t="s">
        <v>71</v>
      </c>
    </row>
    <row r="36" spans="1:14" s="81" customFormat="1" ht="15.75" customHeight="1">
      <c r="A36" s="84" t="s">
        <v>72</v>
      </c>
      <c r="B36" s="132">
        <v>6677</v>
      </c>
      <c r="C36" s="133">
        <v>3575500</v>
      </c>
      <c r="D36" s="132">
        <v>11469</v>
      </c>
      <c r="E36" s="133">
        <v>4186005</v>
      </c>
      <c r="F36" s="132">
        <v>18146</v>
      </c>
      <c r="G36" s="133">
        <v>7761505</v>
      </c>
      <c r="H36" s="132">
        <v>564</v>
      </c>
      <c r="I36" s="134">
        <v>347394</v>
      </c>
      <c r="J36" s="132">
        <v>1147</v>
      </c>
      <c r="K36" s="134">
        <v>155557</v>
      </c>
      <c r="L36" s="132">
        <v>19261</v>
      </c>
      <c r="M36" s="134">
        <v>7569668</v>
      </c>
      <c r="N36" s="85" t="s">
        <v>73</v>
      </c>
    </row>
    <row r="37" spans="1:14" s="81" customFormat="1" ht="15.75" customHeight="1">
      <c r="A37" s="86"/>
      <c r="B37" s="135"/>
      <c r="C37" s="136"/>
      <c r="D37" s="135"/>
      <c r="E37" s="136"/>
      <c r="F37" s="137"/>
      <c r="G37" s="136"/>
      <c r="H37" s="137"/>
      <c r="I37" s="136"/>
      <c r="J37" s="137"/>
      <c r="K37" s="136"/>
      <c r="L37" s="137"/>
      <c r="M37" s="136"/>
      <c r="N37" s="87"/>
    </row>
    <row r="38" spans="1:14" s="81" customFormat="1" ht="15.75" customHeight="1">
      <c r="A38" s="79" t="s">
        <v>74</v>
      </c>
      <c r="B38" s="126">
        <f>_xlfn.COMPOUNDVALUE(101)</f>
        <v>1866</v>
      </c>
      <c r="C38" s="127">
        <v>1039817</v>
      </c>
      <c r="D38" s="126">
        <f>_xlfn.COMPOUNDVALUE(102)</f>
        <v>3813</v>
      </c>
      <c r="E38" s="127">
        <v>1426930</v>
      </c>
      <c r="F38" s="126">
        <f>_xlfn.COMPOUNDVALUE(103)</f>
        <v>5679</v>
      </c>
      <c r="G38" s="127">
        <v>2466747</v>
      </c>
      <c r="H38" s="126">
        <f>_xlfn.COMPOUNDVALUE(104)</f>
        <v>147</v>
      </c>
      <c r="I38" s="128">
        <v>150835</v>
      </c>
      <c r="J38" s="126">
        <v>534</v>
      </c>
      <c r="K38" s="128">
        <v>85914</v>
      </c>
      <c r="L38" s="126">
        <f>_xlfn.COMPOUNDVALUE(104)</f>
        <v>6179</v>
      </c>
      <c r="M38" s="128">
        <v>2401826</v>
      </c>
      <c r="N38" s="88" t="s">
        <v>74</v>
      </c>
    </row>
    <row r="39" spans="1:14" s="81" customFormat="1" ht="15.75" customHeight="1">
      <c r="A39" s="79" t="s">
        <v>75</v>
      </c>
      <c r="B39" s="126">
        <f>_xlfn.COMPOUNDVALUE(105)</f>
        <v>918</v>
      </c>
      <c r="C39" s="127">
        <v>514637</v>
      </c>
      <c r="D39" s="126">
        <f>_xlfn.COMPOUNDVALUE(106)</f>
        <v>2139</v>
      </c>
      <c r="E39" s="127">
        <v>726415</v>
      </c>
      <c r="F39" s="126">
        <f>_xlfn.COMPOUNDVALUE(107)</f>
        <v>3057</v>
      </c>
      <c r="G39" s="127">
        <v>1241052</v>
      </c>
      <c r="H39" s="126">
        <f>_xlfn.COMPOUNDVALUE(108)</f>
        <v>90</v>
      </c>
      <c r="I39" s="128">
        <v>68094</v>
      </c>
      <c r="J39" s="126">
        <v>232</v>
      </c>
      <c r="K39" s="128">
        <v>32713</v>
      </c>
      <c r="L39" s="126">
        <f>_xlfn.COMPOUNDVALUE(108)</f>
        <v>3294</v>
      </c>
      <c r="M39" s="128">
        <v>1205671</v>
      </c>
      <c r="N39" s="80" t="s">
        <v>75</v>
      </c>
    </row>
    <row r="40" spans="1:14" s="81" customFormat="1" ht="15.75" customHeight="1">
      <c r="A40" s="79" t="s">
        <v>76</v>
      </c>
      <c r="B40" s="126">
        <f>_xlfn.COMPOUNDVALUE(109)</f>
        <v>1719</v>
      </c>
      <c r="C40" s="127">
        <v>1018786</v>
      </c>
      <c r="D40" s="126">
        <f>_xlfn.COMPOUNDVALUE(110)</f>
        <v>3266</v>
      </c>
      <c r="E40" s="127">
        <v>1280126</v>
      </c>
      <c r="F40" s="126">
        <f>_xlfn.COMPOUNDVALUE(111)</f>
        <v>4985</v>
      </c>
      <c r="G40" s="127">
        <v>2298912</v>
      </c>
      <c r="H40" s="126">
        <f>_xlfn.COMPOUNDVALUE(112)</f>
        <v>122</v>
      </c>
      <c r="I40" s="128">
        <v>130691</v>
      </c>
      <c r="J40" s="126">
        <v>363</v>
      </c>
      <c r="K40" s="128">
        <v>50845</v>
      </c>
      <c r="L40" s="126">
        <f>_xlfn.COMPOUNDVALUE(112)</f>
        <v>5293</v>
      </c>
      <c r="M40" s="128">
        <v>2219066</v>
      </c>
      <c r="N40" s="80" t="s">
        <v>76</v>
      </c>
    </row>
    <row r="41" spans="1:14" s="81" customFormat="1" ht="15.75" customHeight="1">
      <c r="A41" s="79" t="s">
        <v>77</v>
      </c>
      <c r="B41" s="126">
        <f>_xlfn.COMPOUNDVALUE(113)</f>
        <v>821</v>
      </c>
      <c r="C41" s="127">
        <v>512389</v>
      </c>
      <c r="D41" s="126">
        <f>_xlfn.COMPOUNDVALUE(114)</f>
        <v>1519</v>
      </c>
      <c r="E41" s="127">
        <v>629603</v>
      </c>
      <c r="F41" s="126">
        <f>_xlfn.COMPOUNDVALUE(115)</f>
        <v>2340</v>
      </c>
      <c r="G41" s="127">
        <v>1141993</v>
      </c>
      <c r="H41" s="126">
        <f>_xlfn.COMPOUNDVALUE(116)</f>
        <v>59</v>
      </c>
      <c r="I41" s="128">
        <v>42640</v>
      </c>
      <c r="J41" s="126">
        <v>219</v>
      </c>
      <c r="K41" s="128">
        <v>54535</v>
      </c>
      <c r="L41" s="126">
        <f>_xlfn.COMPOUNDVALUE(116)</f>
        <v>2527</v>
      </c>
      <c r="M41" s="128">
        <v>1153888</v>
      </c>
      <c r="N41" s="80" t="s">
        <v>77</v>
      </c>
    </row>
    <row r="42" spans="1:14" s="81" customFormat="1" ht="15.75" customHeight="1">
      <c r="A42" s="79" t="s">
        <v>78</v>
      </c>
      <c r="B42" s="126">
        <f>_xlfn.COMPOUNDVALUE(117)</f>
        <v>1295</v>
      </c>
      <c r="C42" s="127">
        <v>1250406</v>
      </c>
      <c r="D42" s="126">
        <f>_xlfn.COMPOUNDVALUE(118)</f>
        <v>2597</v>
      </c>
      <c r="E42" s="127">
        <v>1205683</v>
      </c>
      <c r="F42" s="126">
        <f>_xlfn.COMPOUNDVALUE(119)</f>
        <v>3892</v>
      </c>
      <c r="G42" s="127">
        <v>2456089</v>
      </c>
      <c r="H42" s="126">
        <f>_xlfn.COMPOUNDVALUE(120)</f>
        <v>120</v>
      </c>
      <c r="I42" s="128">
        <v>166528</v>
      </c>
      <c r="J42" s="126">
        <v>323</v>
      </c>
      <c r="K42" s="128">
        <v>37851</v>
      </c>
      <c r="L42" s="126">
        <f>_xlfn.COMPOUNDVALUE(120)</f>
        <v>4131</v>
      </c>
      <c r="M42" s="128">
        <v>2327412</v>
      </c>
      <c r="N42" s="80" t="s">
        <v>78</v>
      </c>
    </row>
    <row r="43" spans="1:14" s="81" customFormat="1" ht="15.75" customHeight="1">
      <c r="A43" s="79" t="s">
        <v>79</v>
      </c>
      <c r="B43" s="126">
        <f>_xlfn.COMPOUNDVALUE(121)</f>
        <v>1125</v>
      </c>
      <c r="C43" s="127">
        <v>855088</v>
      </c>
      <c r="D43" s="126">
        <f>_xlfn.COMPOUNDVALUE(122)</f>
        <v>2054</v>
      </c>
      <c r="E43" s="127">
        <v>915714</v>
      </c>
      <c r="F43" s="126">
        <f>_xlfn.COMPOUNDVALUE(123)</f>
        <v>3179</v>
      </c>
      <c r="G43" s="127">
        <v>1770802</v>
      </c>
      <c r="H43" s="126">
        <f>_xlfn.COMPOUNDVALUE(124)</f>
        <v>73</v>
      </c>
      <c r="I43" s="128">
        <v>116657</v>
      </c>
      <c r="J43" s="126">
        <v>297</v>
      </c>
      <c r="K43" s="128">
        <v>53964</v>
      </c>
      <c r="L43" s="126">
        <f>_xlfn.COMPOUNDVALUE(124)</f>
        <v>3401</v>
      </c>
      <c r="M43" s="128">
        <v>1708109</v>
      </c>
      <c r="N43" s="80" t="s">
        <v>79</v>
      </c>
    </row>
    <row r="44" spans="1:14" s="81" customFormat="1" ht="15.75" customHeight="1">
      <c r="A44" s="79" t="s">
        <v>80</v>
      </c>
      <c r="B44" s="126">
        <f>_xlfn.COMPOUNDVALUE(125)</f>
        <v>638</v>
      </c>
      <c r="C44" s="127">
        <v>333439</v>
      </c>
      <c r="D44" s="126">
        <f>_xlfn.COMPOUNDVALUE(126)</f>
        <v>1298</v>
      </c>
      <c r="E44" s="127">
        <v>439073</v>
      </c>
      <c r="F44" s="126">
        <f>_xlfn.COMPOUNDVALUE(127)</f>
        <v>1936</v>
      </c>
      <c r="G44" s="127">
        <v>772512</v>
      </c>
      <c r="H44" s="126">
        <f>_xlfn.COMPOUNDVALUE(128)</f>
        <v>53</v>
      </c>
      <c r="I44" s="128">
        <v>47997</v>
      </c>
      <c r="J44" s="126">
        <v>223</v>
      </c>
      <c r="K44" s="128">
        <v>36600</v>
      </c>
      <c r="L44" s="126">
        <f>_xlfn.COMPOUNDVALUE(128)</f>
        <v>2120</v>
      </c>
      <c r="M44" s="128">
        <v>761114</v>
      </c>
      <c r="N44" s="80" t="s">
        <v>80</v>
      </c>
    </row>
    <row r="45" spans="1:14" s="81" customFormat="1" ht="15.75" customHeight="1">
      <c r="A45" s="79" t="s">
        <v>81</v>
      </c>
      <c r="B45" s="126">
        <f>_xlfn.COMPOUNDVALUE(129)</f>
        <v>303</v>
      </c>
      <c r="C45" s="127">
        <v>164242</v>
      </c>
      <c r="D45" s="126">
        <f>_xlfn.COMPOUNDVALUE(130)</f>
        <v>621</v>
      </c>
      <c r="E45" s="127">
        <v>217944</v>
      </c>
      <c r="F45" s="126">
        <f>_xlfn.COMPOUNDVALUE(131)</f>
        <v>924</v>
      </c>
      <c r="G45" s="127">
        <v>382187</v>
      </c>
      <c r="H45" s="126">
        <f>_xlfn.COMPOUNDVALUE(132)</f>
        <v>29</v>
      </c>
      <c r="I45" s="128">
        <v>8207</v>
      </c>
      <c r="J45" s="126">
        <v>59</v>
      </c>
      <c r="K45" s="128">
        <v>5371</v>
      </c>
      <c r="L45" s="126">
        <f>_xlfn.COMPOUNDVALUE(132)</f>
        <v>977</v>
      </c>
      <c r="M45" s="128">
        <v>379351</v>
      </c>
      <c r="N45" s="80" t="s">
        <v>81</v>
      </c>
    </row>
    <row r="46" spans="1:14" s="81" customFormat="1" ht="15.75" customHeight="1">
      <c r="A46" s="82" t="s">
        <v>82</v>
      </c>
      <c r="B46" s="129">
        <f>_xlfn.COMPOUNDVALUE(133)</f>
        <v>1502</v>
      </c>
      <c r="C46" s="130">
        <v>994518</v>
      </c>
      <c r="D46" s="129">
        <f>_xlfn.COMPOUNDVALUE(134)</f>
        <v>3208</v>
      </c>
      <c r="E46" s="130">
        <v>1239857</v>
      </c>
      <c r="F46" s="129">
        <f>_xlfn.COMPOUNDVALUE(135)</f>
        <v>4710</v>
      </c>
      <c r="G46" s="130">
        <v>2234375</v>
      </c>
      <c r="H46" s="129">
        <f>_xlfn.COMPOUNDVALUE(136)</f>
        <v>97</v>
      </c>
      <c r="I46" s="131">
        <v>59072</v>
      </c>
      <c r="J46" s="129">
        <v>396</v>
      </c>
      <c r="K46" s="131">
        <v>65424</v>
      </c>
      <c r="L46" s="129">
        <f>_xlfn.COMPOUNDVALUE(136)</f>
        <v>5043</v>
      </c>
      <c r="M46" s="131">
        <v>2240727</v>
      </c>
      <c r="N46" s="83" t="s">
        <v>82</v>
      </c>
    </row>
    <row r="47" spans="1:14" s="81" customFormat="1" ht="15.75" customHeight="1">
      <c r="A47" s="82" t="s">
        <v>83</v>
      </c>
      <c r="B47" s="129">
        <f>_xlfn.COMPOUNDVALUE(137)</f>
        <v>401</v>
      </c>
      <c r="C47" s="130">
        <v>176432</v>
      </c>
      <c r="D47" s="129">
        <f>_xlfn.COMPOUNDVALUE(138)</f>
        <v>807</v>
      </c>
      <c r="E47" s="130">
        <v>265746</v>
      </c>
      <c r="F47" s="129">
        <f>_xlfn.COMPOUNDVALUE(139)</f>
        <v>1208</v>
      </c>
      <c r="G47" s="130">
        <v>442178</v>
      </c>
      <c r="H47" s="129">
        <f>_xlfn.COMPOUNDVALUE(140)</f>
        <v>66</v>
      </c>
      <c r="I47" s="131">
        <v>55287</v>
      </c>
      <c r="J47" s="129">
        <v>121</v>
      </c>
      <c r="K47" s="131">
        <v>50803</v>
      </c>
      <c r="L47" s="129">
        <f>_xlfn.COMPOUNDVALUE(140)</f>
        <v>1334</v>
      </c>
      <c r="M47" s="131">
        <v>437695</v>
      </c>
      <c r="N47" s="83" t="s">
        <v>83</v>
      </c>
    </row>
    <row r="48" spans="1:14" s="81" customFormat="1" ht="15.75" customHeight="1">
      <c r="A48" s="82" t="s">
        <v>84</v>
      </c>
      <c r="B48" s="129">
        <f>_xlfn.COMPOUNDVALUE(141)</f>
        <v>576</v>
      </c>
      <c r="C48" s="130">
        <v>291399</v>
      </c>
      <c r="D48" s="129">
        <f>_xlfn.COMPOUNDVALUE(142)</f>
        <v>944</v>
      </c>
      <c r="E48" s="130">
        <v>334138</v>
      </c>
      <c r="F48" s="129">
        <f>_xlfn.COMPOUNDVALUE(143)</f>
        <v>1520</v>
      </c>
      <c r="G48" s="130">
        <v>625537</v>
      </c>
      <c r="H48" s="129">
        <f>_xlfn.COMPOUNDVALUE(144)</f>
        <v>45</v>
      </c>
      <c r="I48" s="131">
        <v>18692</v>
      </c>
      <c r="J48" s="129">
        <v>152</v>
      </c>
      <c r="K48" s="131">
        <v>23576</v>
      </c>
      <c r="L48" s="129">
        <f>_xlfn.COMPOUNDVALUE(144)</f>
        <v>1642</v>
      </c>
      <c r="M48" s="131">
        <v>630421</v>
      </c>
      <c r="N48" s="83" t="s">
        <v>84</v>
      </c>
    </row>
    <row r="49" spans="1:14" s="81" customFormat="1" ht="15.75" customHeight="1">
      <c r="A49" s="82" t="s">
        <v>85</v>
      </c>
      <c r="B49" s="129">
        <f>_xlfn.COMPOUNDVALUE(145)</f>
        <v>1759</v>
      </c>
      <c r="C49" s="130">
        <v>875771</v>
      </c>
      <c r="D49" s="129">
        <f>_xlfn.COMPOUNDVALUE(146)</f>
        <v>3257</v>
      </c>
      <c r="E49" s="130">
        <v>1173580</v>
      </c>
      <c r="F49" s="129">
        <f>_xlfn.COMPOUNDVALUE(147)</f>
        <v>5016</v>
      </c>
      <c r="G49" s="130">
        <v>2049351</v>
      </c>
      <c r="H49" s="129">
        <f>_xlfn.COMPOUNDVALUE(148)</f>
        <v>115</v>
      </c>
      <c r="I49" s="131">
        <v>149866</v>
      </c>
      <c r="J49" s="129">
        <v>610</v>
      </c>
      <c r="K49" s="131">
        <v>74506</v>
      </c>
      <c r="L49" s="129">
        <f>_xlfn.COMPOUNDVALUE(148)</f>
        <v>5518</v>
      </c>
      <c r="M49" s="131">
        <v>1973991</v>
      </c>
      <c r="N49" s="83" t="s">
        <v>85</v>
      </c>
    </row>
    <row r="50" spans="1:14" s="81" customFormat="1" ht="15.75" customHeight="1">
      <c r="A50" s="82" t="s">
        <v>86</v>
      </c>
      <c r="B50" s="129">
        <f>_xlfn.COMPOUNDVALUE(149)</f>
        <v>1065</v>
      </c>
      <c r="C50" s="130">
        <v>512094</v>
      </c>
      <c r="D50" s="129">
        <f>_xlfn.COMPOUNDVALUE(150)</f>
        <v>1922</v>
      </c>
      <c r="E50" s="130">
        <v>715612</v>
      </c>
      <c r="F50" s="129">
        <f>_xlfn.COMPOUNDVALUE(151)</f>
        <v>2987</v>
      </c>
      <c r="G50" s="130">
        <v>1227705</v>
      </c>
      <c r="H50" s="129">
        <f>_xlfn.COMPOUNDVALUE(152)</f>
        <v>60</v>
      </c>
      <c r="I50" s="131">
        <v>87828</v>
      </c>
      <c r="J50" s="129">
        <v>297</v>
      </c>
      <c r="K50" s="131">
        <v>48373</v>
      </c>
      <c r="L50" s="129">
        <f>_xlfn.COMPOUNDVALUE(152)</f>
        <v>3203</v>
      </c>
      <c r="M50" s="131">
        <v>1188250</v>
      </c>
      <c r="N50" s="83" t="s">
        <v>86</v>
      </c>
    </row>
    <row r="51" spans="1:14" s="81" customFormat="1" ht="15.75" customHeight="1">
      <c r="A51" s="82" t="s">
        <v>87</v>
      </c>
      <c r="B51" s="129">
        <f>_xlfn.COMPOUNDVALUE(153)</f>
        <v>1707</v>
      </c>
      <c r="C51" s="130">
        <v>909175</v>
      </c>
      <c r="D51" s="129">
        <f>_xlfn.COMPOUNDVALUE(154)</f>
        <v>3255</v>
      </c>
      <c r="E51" s="130">
        <v>1238471</v>
      </c>
      <c r="F51" s="129">
        <f>_xlfn.COMPOUNDVALUE(155)</f>
        <v>4962</v>
      </c>
      <c r="G51" s="130">
        <v>2147646</v>
      </c>
      <c r="H51" s="129">
        <f>_xlfn.COMPOUNDVALUE(156)</f>
        <v>149</v>
      </c>
      <c r="I51" s="131">
        <v>172474</v>
      </c>
      <c r="J51" s="129">
        <v>491</v>
      </c>
      <c r="K51" s="131">
        <v>58743</v>
      </c>
      <c r="L51" s="129">
        <f>_xlfn.COMPOUNDVALUE(156)</f>
        <v>5292</v>
      </c>
      <c r="M51" s="131">
        <v>2033915</v>
      </c>
      <c r="N51" s="83" t="s">
        <v>87</v>
      </c>
    </row>
    <row r="52" spans="1:14" s="81" customFormat="1" ht="15.75" customHeight="1">
      <c r="A52" s="82" t="s">
        <v>88</v>
      </c>
      <c r="B52" s="129">
        <f>_xlfn.COMPOUNDVALUE(157)</f>
        <v>1090</v>
      </c>
      <c r="C52" s="130">
        <v>731973</v>
      </c>
      <c r="D52" s="129">
        <f>_xlfn.COMPOUNDVALUE(158)</f>
        <v>2057</v>
      </c>
      <c r="E52" s="130">
        <v>849266</v>
      </c>
      <c r="F52" s="129">
        <f>_xlfn.COMPOUNDVALUE(159)</f>
        <v>3147</v>
      </c>
      <c r="G52" s="130">
        <v>1581239</v>
      </c>
      <c r="H52" s="129">
        <f>_xlfn.COMPOUNDVALUE(160)</f>
        <v>71</v>
      </c>
      <c r="I52" s="131">
        <v>56693</v>
      </c>
      <c r="J52" s="129">
        <v>325</v>
      </c>
      <c r="K52" s="131">
        <v>57788</v>
      </c>
      <c r="L52" s="129">
        <f>_xlfn.COMPOUNDVALUE(160)</f>
        <v>3400</v>
      </c>
      <c r="M52" s="131">
        <v>1582334</v>
      </c>
      <c r="N52" s="83" t="s">
        <v>88</v>
      </c>
    </row>
    <row r="53" spans="1:14" s="81" customFormat="1" ht="15.75" customHeight="1">
      <c r="A53" s="84" t="s">
        <v>89</v>
      </c>
      <c r="B53" s="132">
        <v>16785</v>
      </c>
      <c r="C53" s="133">
        <v>10180167</v>
      </c>
      <c r="D53" s="132">
        <v>32757</v>
      </c>
      <c r="E53" s="133">
        <v>12658159</v>
      </c>
      <c r="F53" s="132">
        <v>49542</v>
      </c>
      <c r="G53" s="133">
        <v>22838326</v>
      </c>
      <c r="H53" s="132">
        <v>1296</v>
      </c>
      <c r="I53" s="134">
        <v>1331561</v>
      </c>
      <c r="J53" s="132">
        <v>4642</v>
      </c>
      <c r="K53" s="134">
        <v>737005</v>
      </c>
      <c r="L53" s="132">
        <v>53354</v>
      </c>
      <c r="M53" s="134">
        <v>22243770</v>
      </c>
      <c r="N53" s="85" t="s">
        <v>90</v>
      </c>
    </row>
    <row r="54" spans="1:14" s="81" customFormat="1" ht="15.75" customHeight="1">
      <c r="A54" s="86"/>
      <c r="B54" s="135"/>
      <c r="C54" s="136"/>
      <c r="D54" s="135"/>
      <c r="E54" s="136"/>
      <c r="F54" s="137"/>
      <c r="G54" s="136"/>
      <c r="H54" s="137"/>
      <c r="I54" s="136"/>
      <c r="J54" s="137"/>
      <c r="K54" s="136"/>
      <c r="L54" s="137"/>
      <c r="M54" s="136"/>
      <c r="N54" s="87"/>
    </row>
    <row r="55" spans="1:14" s="81" customFormat="1" ht="15.75" customHeight="1">
      <c r="A55" s="79" t="s">
        <v>91</v>
      </c>
      <c r="B55" s="126">
        <f>_xlfn.COMPOUNDVALUE(161)</f>
        <v>1985</v>
      </c>
      <c r="C55" s="127">
        <v>1155959</v>
      </c>
      <c r="D55" s="126">
        <f>_xlfn.COMPOUNDVALUE(162)</f>
        <v>3458</v>
      </c>
      <c r="E55" s="127">
        <v>1287339</v>
      </c>
      <c r="F55" s="126">
        <f>_xlfn.COMPOUNDVALUE(163)</f>
        <v>5443</v>
      </c>
      <c r="G55" s="127">
        <v>2443298</v>
      </c>
      <c r="H55" s="126">
        <f>_xlfn.COMPOUNDVALUE(164)</f>
        <v>135</v>
      </c>
      <c r="I55" s="128">
        <v>113009</v>
      </c>
      <c r="J55" s="126">
        <v>523</v>
      </c>
      <c r="K55" s="128">
        <v>84431</v>
      </c>
      <c r="L55" s="126">
        <f>_xlfn.COMPOUNDVALUE(164)</f>
        <v>5763</v>
      </c>
      <c r="M55" s="128">
        <v>2414721</v>
      </c>
      <c r="N55" s="88" t="s">
        <v>91</v>
      </c>
    </row>
    <row r="56" spans="1:14" s="81" customFormat="1" ht="15.75" customHeight="1">
      <c r="A56" s="79" t="s">
        <v>92</v>
      </c>
      <c r="B56" s="126">
        <f>_xlfn.COMPOUNDVALUE(165)</f>
        <v>424</v>
      </c>
      <c r="C56" s="127">
        <v>219768</v>
      </c>
      <c r="D56" s="126">
        <f>_xlfn.COMPOUNDVALUE(166)</f>
        <v>731</v>
      </c>
      <c r="E56" s="127">
        <v>247017</v>
      </c>
      <c r="F56" s="126">
        <f>_xlfn.COMPOUNDVALUE(167)</f>
        <v>1155</v>
      </c>
      <c r="G56" s="127">
        <v>466785</v>
      </c>
      <c r="H56" s="126">
        <f>_xlfn.COMPOUNDVALUE(168)</f>
        <v>19</v>
      </c>
      <c r="I56" s="128">
        <v>4518</v>
      </c>
      <c r="J56" s="126">
        <v>103</v>
      </c>
      <c r="K56" s="128">
        <v>9827</v>
      </c>
      <c r="L56" s="126">
        <f>_xlfn.COMPOUNDVALUE(168)</f>
        <v>1208</v>
      </c>
      <c r="M56" s="128">
        <v>472094</v>
      </c>
      <c r="N56" s="80" t="s">
        <v>92</v>
      </c>
    </row>
    <row r="57" spans="1:14" s="81" customFormat="1" ht="15.75" customHeight="1">
      <c r="A57" s="79" t="s">
        <v>93</v>
      </c>
      <c r="B57" s="126">
        <f>_xlfn.COMPOUNDVALUE(169)</f>
        <v>664</v>
      </c>
      <c r="C57" s="127">
        <v>405637</v>
      </c>
      <c r="D57" s="126">
        <f>_xlfn.COMPOUNDVALUE(170)</f>
        <v>1173</v>
      </c>
      <c r="E57" s="127">
        <v>372400</v>
      </c>
      <c r="F57" s="126">
        <f>_xlfn.COMPOUNDVALUE(171)</f>
        <v>1837</v>
      </c>
      <c r="G57" s="127">
        <v>778037</v>
      </c>
      <c r="H57" s="126">
        <f>_xlfn.COMPOUNDVALUE(172)</f>
        <v>45</v>
      </c>
      <c r="I57" s="128">
        <v>21797</v>
      </c>
      <c r="J57" s="126">
        <v>77</v>
      </c>
      <c r="K57" s="128">
        <v>8005</v>
      </c>
      <c r="L57" s="126">
        <f>_xlfn.COMPOUNDVALUE(172)</f>
        <v>1908</v>
      </c>
      <c r="M57" s="128">
        <v>764245</v>
      </c>
      <c r="N57" s="80" t="s">
        <v>93</v>
      </c>
    </row>
    <row r="58" spans="1:14" s="81" customFormat="1" ht="15.75" customHeight="1">
      <c r="A58" s="79" t="s">
        <v>94</v>
      </c>
      <c r="B58" s="126">
        <f>_xlfn.COMPOUNDVALUE(173)</f>
        <v>691</v>
      </c>
      <c r="C58" s="127">
        <v>382966</v>
      </c>
      <c r="D58" s="126">
        <f>_xlfn.COMPOUNDVALUE(174)</f>
        <v>1242</v>
      </c>
      <c r="E58" s="127">
        <v>421898</v>
      </c>
      <c r="F58" s="126">
        <f>_xlfn.COMPOUNDVALUE(175)</f>
        <v>1933</v>
      </c>
      <c r="G58" s="127">
        <v>804864</v>
      </c>
      <c r="H58" s="126">
        <f>_xlfn.COMPOUNDVALUE(176)</f>
        <v>49</v>
      </c>
      <c r="I58" s="128">
        <v>9836</v>
      </c>
      <c r="J58" s="126">
        <v>92</v>
      </c>
      <c r="K58" s="128">
        <v>8881</v>
      </c>
      <c r="L58" s="126">
        <f>_xlfn.COMPOUNDVALUE(176)</f>
        <v>2012</v>
      </c>
      <c r="M58" s="128">
        <v>803909</v>
      </c>
      <c r="N58" s="80" t="s">
        <v>94</v>
      </c>
    </row>
    <row r="59" spans="1:14" s="81" customFormat="1" ht="15.75" customHeight="1">
      <c r="A59" s="79" t="s">
        <v>95</v>
      </c>
      <c r="B59" s="126">
        <f>_xlfn.COMPOUNDVALUE(177)</f>
        <v>697</v>
      </c>
      <c r="C59" s="127">
        <v>358345</v>
      </c>
      <c r="D59" s="126">
        <f>_xlfn.COMPOUNDVALUE(178)</f>
        <v>1155</v>
      </c>
      <c r="E59" s="127">
        <v>379447</v>
      </c>
      <c r="F59" s="126">
        <f>_xlfn.COMPOUNDVALUE(179)</f>
        <v>1852</v>
      </c>
      <c r="G59" s="127">
        <v>737792</v>
      </c>
      <c r="H59" s="126">
        <f>_xlfn.COMPOUNDVALUE(180)</f>
        <v>30</v>
      </c>
      <c r="I59" s="128">
        <v>17815</v>
      </c>
      <c r="J59" s="126">
        <v>117</v>
      </c>
      <c r="K59" s="128">
        <v>9323</v>
      </c>
      <c r="L59" s="126">
        <f>_xlfn.COMPOUNDVALUE(180)</f>
        <v>1923</v>
      </c>
      <c r="M59" s="128">
        <v>729300</v>
      </c>
      <c r="N59" s="80" t="s">
        <v>95</v>
      </c>
    </row>
    <row r="60" spans="1:14" s="81" customFormat="1" ht="15.75" customHeight="1">
      <c r="A60" s="79" t="s">
        <v>96</v>
      </c>
      <c r="B60" s="126">
        <f>_xlfn.COMPOUNDVALUE(181)</f>
        <v>227</v>
      </c>
      <c r="C60" s="127">
        <v>127126</v>
      </c>
      <c r="D60" s="126">
        <f>_xlfn.COMPOUNDVALUE(182)</f>
        <v>440</v>
      </c>
      <c r="E60" s="127">
        <v>155133</v>
      </c>
      <c r="F60" s="126">
        <f>_xlfn.COMPOUNDVALUE(183)</f>
        <v>667</v>
      </c>
      <c r="G60" s="127">
        <v>282260</v>
      </c>
      <c r="H60" s="126">
        <f>_xlfn.COMPOUNDVALUE(184)</f>
        <v>12</v>
      </c>
      <c r="I60" s="128">
        <v>1427</v>
      </c>
      <c r="J60" s="126">
        <v>100</v>
      </c>
      <c r="K60" s="128">
        <v>9148</v>
      </c>
      <c r="L60" s="126">
        <f>_xlfn.COMPOUNDVALUE(184)</f>
        <v>696</v>
      </c>
      <c r="M60" s="128">
        <v>289981</v>
      </c>
      <c r="N60" s="80" t="s">
        <v>96</v>
      </c>
    </row>
    <row r="61" spans="1:14" s="81" customFormat="1" ht="15.75" customHeight="1">
      <c r="A61" s="82" t="s">
        <v>97</v>
      </c>
      <c r="B61" s="129">
        <f>_xlfn.COMPOUNDVALUE(185)</f>
        <v>631</v>
      </c>
      <c r="C61" s="130">
        <v>375373</v>
      </c>
      <c r="D61" s="129">
        <f>_xlfn.COMPOUNDVALUE(186)</f>
        <v>1369</v>
      </c>
      <c r="E61" s="130">
        <v>459900</v>
      </c>
      <c r="F61" s="129">
        <f>_xlfn.COMPOUNDVALUE(187)</f>
        <v>2000</v>
      </c>
      <c r="G61" s="130">
        <v>835273</v>
      </c>
      <c r="H61" s="129">
        <f>_xlfn.COMPOUNDVALUE(188)</f>
        <v>42</v>
      </c>
      <c r="I61" s="131">
        <v>25909</v>
      </c>
      <c r="J61" s="129">
        <v>157</v>
      </c>
      <c r="K61" s="131">
        <v>18535</v>
      </c>
      <c r="L61" s="129">
        <f>_xlfn.COMPOUNDVALUE(188)</f>
        <v>2097</v>
      </c>
      <c r="M61" s="131">
        <v>827899</v>
      </c>
      <c r="N61" s="83" t="s">
        <v>97</v>
      </c>
    </row>
    <row r="62" spans="1:14" s="81" customFormat="1" ht="15.75" customHeight="1">
      <c r="A62" s="82" t="s">
        <v>98</v>
      </c>
      <c r="B62" s="129">
        <f>_xlfn.COMPOUNDVALUE(189)</f>
        <v>634</v>
      </c>
      <c r="C62" s="130">
        <v>334202</v>
      </c>
      <c r="D62" s="129">
        <f>_xlfn.COMPOUNDVALUE(190)</f>
        <v>1132</v>
      </c>
      <c r="E62" s="130">
        <v>389113</v>
      </c>
      <c r="F62" s="129">
        <f>_xlfn.COMPOUNDVALUE(191)</f>
        <v>1766</v>
      </c>
      <c r="G62" s="130">
        <v>723314</v>
      </c>
      <c r="H62" s="129">
        <f>_xlfn.COMPOUNDVALUE(192)</f>
        <v>31</v>
      </c>
      <c r="I62" s="131">
        <v>11850</v>
      </c>
      <c r="J62" s="129">
        <v>148</v>
      </c>
      <c r="K62" s="131">
        <v>9452</v>
      </c>
      <c r="L62" s="129">
        <f>_xlfn.COMPOUNDVALUE(192)</f>
        <v>1828</v>
      </c>
      <c r="M62" s="131">
        <v>720916</v>
      </c>
      <c r="N62" s="83" t="s">
        <v>98</v>
      </c>
    </row>
    <row r="63" spans="1:14" s="81" customFormat="1" ht="15.75" customHeight="1">
      <c r="A63" s="82" t="s">
        <v>99</v>
      </c>
      <c r="B63" s="129">
        <f>_xlfn.COMPOUNDVALUE(193)</f>
        <v>267</v>
      </c>
      <c r="C63" s="130">
        <v>157385</v>
      </c>
      <c r="D63" s="129">
        <f>_xlfn.COMPOUNDVALUE(194)</f>
        <v>566</v>
      </c>
      <c r="E63" s="130">
        <v>192331</v>
      </c>
      <c r="F63" s="129">
        <f>_xlfn.COMPOUNDVALUE(195)</f>
        <v>833</v>
      </c>
      <c r="G63" s="130">
        <v>349716</v>
      </c>
      <c r="H63" s="129">
        <f>_xlfn.COMPOUNDVALUE(196)</f>
        <v>8</v>
      </c>
      <c r="I63" s="131">
        <v>3142</v>
      </c>
      <c r="J63" s="129">
        <v>58</v>
      </c>
      <c r="K63" s="131">
        <v>4190</v>
      </c>
      <c r="L63" s="129">
        <f>_xlfn.COMPOUNDVALUE(196)</f>
        <v>849</v>
      </c>
      <c r="M63" s="131">
        <v>350764</v>
      </c>
      <c r="N63" s="83" t="s">
        <v>99</v>
      </c>
    </row>
    <row r="64" spans="1:14" s="81" customFormat="1" ht="15.75" customHeight="1">
      <c r="A64" s="82" t="s">
        <v>100</v>
      </c>
      <c r="B64" s="129">
        <f>_xlfn.COMPOUNDVALUE(197)</f>
        <v>261</v>
      </c>
      <c r="C64" s="130">
        <v>136418</v>
      </c>
      <c r="D64" s="129">
        <f>_xlfn.COMPOUNDVALUE(198)</f>
        <v>499</v>
      </c>
      <c r="E64" s="130">
        <v>160074</v>
      </c>
      <c r="F64" s="129">
        <f>_xlfn.COMPOUNDVALUE(199)</f>
        <v>760</v>
      </c>
      <c r="G64" s="130">
        <v>296491</v>
      </c>
      <c r="H64" s="129">
        <f>_xlfn.COMPOUNDVALUE(200)</f>
        <v>14</v>
      </c>
      <c r="I64" s="131">
        <v>15615</v>
      </c>
      <c r="J64" s="129">
        <v>103</v>
      </c>
      <c r="K64" s="131">
        <v>4646</v>
      </c>
      <c r="L64" s="129">
        <f>_xlfn.COMPOUNDVALUE(200)</f>
        <v>793</v>
      </c>
      <c r="M64" s="131">
        <v>285522</v>
      </c>
      <c r="N64" s="83" t="s">
        <v>100</v>
      </c>
    </row>
    <row r="65" spans="1:14" s="81" customFormat="1" ht="15.75" customHeight="1">
      <c r="A65" s="82" t="s">
        <v>101</v>
      </c>
      <c r="B65" s="129">
        <f>_xlfn.COMPOUNDVALUE(201)</f>
        <v>146</v>
      </c>
      <c r="C65" s="130">
        <v>88854</v>
      </c>
      <c r="D65" s="129">
        <f>_xlfn.COMPOUNDVALUE(202)</f>
        <v>303</v>
      </c>
      <c r="E65" s="130">
        <v>104967</v>
      </c>
      <c r="F65" s="129">
        <f>_xlfn.COMPOUNDVALUE(203)</f>
        <v>449</v>
      </c>
      <c r="G65" s="130">
        <v>193822</v>
      </c>
      <c r="H65" s="129">
        <f>_xlfn.COMPOUNDVALUE(204)</f>
        <v>12</v>
      </c>
      <c r="I65" s="131">
        <v>4423</v>
      </c>
      <c r="J65" s="129">
        <v>37</v>
      </c>
      <c r="K65" s="131">
        <v>809</v>
      </c>
      <c r="L65" s="129">
        <f>_xlfn.COMPOUNDVALUE(204)</f>
        <v>463</v>
      </c>
      <c r="M65" s="131">
        <v>190208</v>
      </c>
      <c r="N65" s="83" t="s">
        <v>101</v>
      </c>
    </row>
    <row r="66" spans="1:14" s="81" customFormat="1" ht="15.75" customHeight="1">
      <c r="A66" s="82" t="s">
        <v>102</v>
      </c>
      <c r="B66" s="129">
        <f>_xlfn.COMPOUNDVALUE(205)</f>
        <v>749</v>
      </c>
      <c r="C66" s="130">
        <v>360794</v>
      </c>
      <c r="D66" s="129">
        <f>_xlfn.COMPOUNDVALUE(206)</f>
        <v>1232</v>
      </c>
      <c r="E66" s="130">
        <v>412071</v>
      </c>
      <c r="F66" s="129">
        <f>_xlfn.COMPOUNDVALUE(207)</f>
        <v>1981</v>
      </c>
      <c r="G66" s="130">
        <v>772865</v>
      </c>
      <c r="H66" s="129">
        <f>_xlfn.COMPOUNDVALUE(208)</f>
        <v>37</v>
      </c>
      <c r="I66" s="131">
        <v>17980</v>
      </c>
      <c r="J66" s="129">
        <v>220</v>
      </c>
      <c r="K66" s="131">
        <v>17959</v>
      </c>
      <c r="L66" s="129">
        <f>_xlfn.COMPOUNDVALUE(208)</f>
        <v>2077</v>
      </c>
      <c r="M66" s="131">
        <v>772844</v>
      </c>
      <c r="N66" s="83" t="s">
        <v>102</v>
      </c>
    </row>
    <row r="67" spans="1:14" s="81" customFormat="1" ht="15.75" customHeight="1">
      <c r="A67" s="82" t="s">
        <v>103</v>
      </c>
      <c r="B67" s="129">
        <f>_xlfn.COMPOUNDVALUE(209)</f>
        <v>226</v>
      </c>
      <c r="C67" s="130">
        <v>111602</v>
      </c>
      <c r="D67" s="129">
        <f>_xlfn.COMPOUNDVALUE(210)</f>
        <v>409</v>
      </c>
      <c r="E67" s="130">
        <v>123467</v>
      </c>
      <c r="F67" s="129">
        <f>_xlfn.COMPOUNDVALUE(211)</f>
        <v>635</v>
      </c>
      <c r="G67" s="130">
        <v>235069</v>
      </c>
      <c r="H67" s="129">
        <f>_xlfn.COMPOUNDVALUE(212)</f>
        <v>8</v>
      </c>
      <c r="I67" s="131">
        <v>3870</v>
      </c>
      <c r="J67" s="129">
        <v>41</v>
      </c>
      <c r="K67" s="131">
        <v>2996</v>
      </c>
      <c r="L67" s="129">
        <f>_xlfn.COMPOUNDVALUE(212)</f>
        <v>650</v>
      </c>
      <c r="M67" s="131">
        <v>234195</v>
      </c>
      <c r="N67" s="83" t="s">
        <v>104</v>
      </c>
    </row>
    <row r="68" spans="1:14" s="81" customFormat="1" ht="15.75" customHeight="1">
      <c r="A68" s="84" t="s">
        <v>105</v>
      </c>
      <c r="B68" s="132">
        <v>7602</v>
      </c>
      <c r="C68" s="133">
        <v>4214429</v>
      </c>
      <c r="D68" s="132">
        <v>13709</v>
      </c>
      <c r="E68" s="133">
        <v>4705157</v>
      </c>
      <c r="F68" s="132">
        <v>21311</v>
      </c>
      <c r="G68" s="133">
        <v>8919586</v>
      </c>
      <c r="H68" s="132">
        <v>442</v>
      </c>
      <c r="I68" s="134">
        <v>251191</v>
      </c>
      <c r="J68" s="132">
        <v>1776</v>
      </c>
      <c r="K68" s="134">
        <v>188202</v>
      </c>
      <c r="L68" s="132">
        <v>22267</v>
      </c>
      <c r="M68" s="134">
        <v>8856596</v>
      </c>
      <c r="N68" s="85" t="s">
        <v>106</v>
      </c>
    </row>
    <row r="69" spans="1:14" s="81" customFormat="1" ht="15.75" customHeight="1">
      <c r="A69" s="86"/>
      <c r="B69" s="135"/>
      <c r="C69" s="136"/>
      <c r="D69" s="135"/>
      <c r="E69" s="136"/>
      <c r="F69" s="137"/>
      <c r="G69" s="136"/>
      <c r="H69" s="137"/>
      <c r="I69" s="136"/>
      <c r="J69" s="137"/>
      <c r="K69" s="136"/>
      <c r="L69" s="137"/>
      <c r="M69" s="136"/>
      <c r="N69" s="87"/>
    </row>
    <row r="70" spans="1:14" s="81" customFormat="1" ht="15.75" customHeight="1">
      <c r="A70" s="79" t="s">
        <v>107</v>
      </c>
      <c r="B70" s="126">
        <f>_xlfn.COMPOUNDVALUE(213)</f>
        <v>1251</v>
      </c>
      <c r="C70" s="127">
        <v>603978</v>
      </c>
      <c r="D70" s="126">
        <f>_xlfn.COMPOUNDVALUE(214)</f>
        <v>1978</v>
      </c>
      <c r="E70" s="127">
        <v>727061</v>
      </c>
      <c r="F70" s="126">
        <f>_xlfn.COMPOUNDVALUE(215)</f>
        <v>3229</v>
      </c>
      <c r="G70" s="127">
        <v>1331039</v>
      </c>
      <c r="H70" s="126">
        <f>_xlfn.COMPOUNDVALUE(216)</f>
        <v>90</v>
      </c>
      <c r="I70" s="128">
        <v>44051</v>
      </c>
      <c r="J70" s="126">
        <v>291</v>
      </c>
      <c r="K70" s="128">
        <v>62044</v>
      </c>
      <c r="L70" s="126">
        <f>_xlfn.COMPOUNDVALUE(216)</f>
        <v>3505</v>
      </c>
      <c r="M70" s="128">
        <v>1349032</v>
      </c>
      <c r="N70" s="88" t="s">
        <v>107</v>
      </c>
    </row>
    <row r="71" spans="1:14" s="81" customFormat="1" ht="15.75" customHeight="1">
      <c r="A71" s="79" t="s">
        <v>108</v>
      </c>
      <c r="B71" s="126">
        <f>_xlfn.COMPOUNDVALUE(217)</f>
        <v>1355</v>
      </c>
      <c r="C71" s="127">
        <v>701604</v>
      </c>
      <c r="D71" s="126">
        <f>_xlfn.COMPOUNDVALUE(218)</f>
        <v>2443</v>
      </c>
      <c r="E71" s="127">
        <v>878703</v>
      </c>
      <c r="F71" s="126">
        <f>_xlfn.COMPOUNDVALUE(219)</f>
        <v>3798</v>
      </c>
      <c r="G71" s="127">
        <v>1580307</v>
      </c>
      <c r="H71" s="126">
        <f>_xlfn.COMPOUNDVALUE(220)</f>
        <v>116</v>
      </c>
      <c r="I71" s="128">
        <v>46566</v>
      </c>
      <c r="J71" s="126">
        <v>263</v>
      </c>
      <c r="K71" s="128">
        <v>21774</v>
      </c>
      <c r="L71" s="126">
        <f>_xlfn.COMPOUNDVALUE(220)</f>
        <v>4004</v>
      </c>
      <c r="M71" s="128">
        <v>1555515</v>
      </c>
      <c r="N71" s="80" t="s">
        <v>108</v>
      </c>
    </row>
    <row r="72" spans="1:14" s="81" customFormat="1" ht="15.75" customHeight="1">
      <c r="A72" s="79" t="s">
        <v>109</v>
      </c>
      <c r="B72" s="126">
        <f>_xlfn.COMPOUNDVALUE(221)</f>
        <v>837</v>
      </c>
      <c r="C72" s="127">
        <v>428613</v>
      </c>
      <c r="D72" s="126">
        <f>_xlfn.COMPOUNDVALUE(222)</f>
        <v>1255</v>
      </c>
      <c r="E72" s="127">
        <v>472667</v>
      </c>
      <c r="F72" s="126">
        <f>_xlfn.COMPOUNDVALUE(223)</f>
        <v>2092</v>
      </c>
      <c r="G72" s="127">
        <v>901280</v>
      </c>
      <c r="H72" s="126">
        <f>_xlfn.COMPOUNDVALUE(224)</f>
        <v>61</v>
      </c>
      <c r="I72" s="128">
        <v>36524</v>
      </c>
      <c r="J72" s="126">
        <v>197</v>
      </c>
      <c r="K72" s="128">
        <v>19049</v>
      </c>
      <c r="L72" s="126">
        <f>_xlfn.COMPOUNDVALUE(224)</f>
        <v>2228</v>
      </c>
      <c r="M72" s="128">
        <v>883806</v>
      </c>
      <c r="N72" s="80" t="s">
        <v>109</v>
      </c>
    </row>
    <row r="73" spans="1:14" s="81" customFormat="1" ht="15.75" customHeight="1">
      <c r="A73" s="82" t="s">
        <v>110</v>
      </c>
      <c r="B73" s="129">
        <f>_xlfn.COMPOUNDVALUE(225)</f>
        <v>594</v>
      </c>
      <c r="C73" s="130">
        <v>331449</v>
      </c>
      <c r="D73" s="129">
        <f>_xlfn.COMPOUNDVALUE(226)</f>
        <v>955</v>
      </c>
      <c r="E73" s="130">
        <v>325298</v>
      </c>
      <c r="F73" s="129">
        <f>_xlfn.COMPOUNDVALUE(227)</f>
        <v>1549</v>
      </c>
      <c r="G73" s="130">
        <v>656747</v>
      </c>
      <c r="H73" s="129">
        <f>_xlfn.COMPOUNDVALUE(228)</f>
        <v>38</v>
      </c>
      <c r="I73" s="131">
        <v>13641</v>
      </c>
      <c r="J73" s="129">
        <v>79</v>
      </c>
      <c r="K73" s="131">
        <v>4871</v>
      </c>
      <c r="L73" s="129">
        <f>_xlfn.COMPOUNDVALUE(228)</f>
        <v>1621</v>
      </c>
      <c r="M73" s="131">
        <v>647978</v>
      </c>
      <c r="N73" s="83" t="s">
        <v>110</v>
      </c>
    </row>
    <row r="74" spans="1:14" s="81" customFormat="1" ht="15.75" customHeight="1">
      <c r="A74" s="82" t="s">
        <v>111</v>
      </c>
      <c r="B74" s="129">
        <f>_xlfn.COMPOUNDVALUE(229)</f>
        <v>640</v>
      </c>
      <c r="C74" s="130">
        <v>344060</v>
      </c>
      <c r="D74" s="129">
        <f>_xlfn.COMPOUNDVALUE(230)</f>
        <v>1095</v>
      </c>
      <c r="E74" s="130">
        <v>382113</v>
      </c>
      <c r="F74" s="129">
        <f>_xlfn.COMPOUNDVALUE(231)</f>
        <v>1735</v>
      </c>
      <c r="G74" s="130">
        <v>726173</v>
      </c>
      <c r="H74" s="129">
        <f>_xlfn.COMPOUNDVALUE(232)</f>
        <v>85</v>
      </c>
      <c r="I74" s="131">
        <v>33314</v>
      </c>
      <c r="J74" s="129">
        <v>146</v>
      </c>
      <c r="K74" s="131">
        <v>15195</v>
      </c>
      <c r="L74" s="129">
        <f>_xlfn.COMPOUNDVALUE(232)</f>
        <v>1901</v>
      </c>
      <c r="M74" s="131">
        <v>708053</v>
      </c>
      <c r="N74" s="83" t="s">
        <v>111</v>
      </c>
    </row>
    <row r="75" spans="1:14" s="81" customFormat="1" ht="15.75" customHeight="1">
      <c r="A75" s="82" t="s">
        <v>112</v>
      </c>
      <c r="B75" s="129">
        <f>_xlfn.COMPOUNDVALUE(233)</f>
        <v>500</v>
      </c>
      <c r="C75" s="130">
        <v>237220</v>
      </c>
      <c r="D75" s="129">
        <f>_xlfn.COMPOUNDVALUE(234)</f>
        <v>997</v>
      </c>
      <c r="E75" s="130">
        <v>351775</v>
      </c>
      <c r="F75" s="129">
        <f>_xlfn.COMPOUNDVALUE(235)</f>
        <v>1497</v>
      </c>
      <c r="G75" s="130">
        <v>588995</v>
      </c>
      <c r="H75" s="129">
        <f>_xlfn.COMPOUNDVALUE(236)</f>
        <v>24</v>
      </c>
      <c r="I75" s="131">
        <v>7523</v>
      </c>
      <c r="J75" s="129">
        <v>94</v>
      </c>
      <c r="K75" s="131">
        <v>16630</v>
      </c>
      <c r="L75" s="129">
        <f>_xlfn.COMPOUNDVALUE(236)</f>
        <v>1574</v>
      </c>
      <c r="M75" s="131">
        <v>598102</v>
      </c>
      <c r="N75" s="83" t="s">
        <v>112</v>
      </c>
    </row>
    <row r="76" spans="1:14" s="81" customFormat="1" ht="15.75" customHeight="1">
      <c r="A76" s="82" t="s">
        <v>113</v>
      </c>
      <c r="B76" s="129">
        <f>_xlfn.COMPOUNDVALUE(237)</f>
        <v>434</v>
      </c>
      <c r="C76" s="130">
        <v>184907</v>
      </c>
      <c r="D76" s="129">
        <f>_xlfn.COMPOUNDVALUE(238)</f>
        <v>807</v>
      </c>
      <c r="E76" s="130">
        <v>261515</v>
      </c>
      <c r="F76" s="129">
        <f>_xlfn.COMPOUNDVALUE(239)</f>
        <v>1241</v>
      </c>
      <c r="G76" s="130">
        <v>446422</v>
      </c>
      <c r="H76" s="129">
        <f>_xlfn.COMPOUNDVALUE(240)</f>
        <v>31</v>
      </c>
      <c r="I76" s="131">
        <v>9109</v>
      </c>
      <c r="J76" s="129">
        <v>91</v>
      </c>
      <c r="K76" s="131">
        <v>4031</v>
      </c>
      <c r="L76" s="129">
        <f>_xlfn.COMPOUNDVALUE(240)</f>
        <v>1307</v>
      </c>
      <c r="M76" s="131">
        <v>441344</v>
      </c>
      <c r="N76" s="83" t="s">
        <v>113</v>
      </c>
    </row>
    <row r="77" spans="1:14" s="81" customFormat="1" ht="15.75" customHeight="1">
      <c r="A77" s="82" t="s">
        <v>114</v>
      </c>
      <c r="B77" s="129">
        <f>_xlfn.COMPOUNDVALUE(241)</f>
        <v>221</v>
      </c>
      <c r="C77" s="130">
        <v>97483</v>
      </c>
      <c r="D77" s="129">
        <f>_xlfn.COMPOUNDVALUE(242)</f>
        <v>389</v>
      </c>
      <c r="E77" s="130">
        <v>134082</v>
      </c>
      <c r="F77" s="129">
        <f>_xlfn.COMPOUNDVALUE(243)</f>
        <v>610</v>
      </c>
      <c r="G77" s="130">
        <v>231565</v>
      </c>
      <c r="H77" s="129">
        <f>_xlfn.COMPOUNDVALUE(244)</f>
        <v>27</v>
      </c>
      <c r="I77" s="131">
        <v>12883</v>
      </c>
      <c r="J77" s="129">
        <v>48</v>
      </c>
      <c r="K77" s="131">
        <v>7145</v>
      </c>
      <c r="L77" s="129">
        <f>_xlfn.COMPOUNDVALUE(244)</f>
        <v>654</v>
      </c>
      <c r="M77" s="131">
        <v>225827</v>
      </c>
      <c r="N77" s="83" t="s">
        <v>114</v>
      </c>
    </row>
    <row r="78" spans="1:14" s="81" customFormat="1" ht="15.75" customHeight="1">
      <c r="A78" s="82" t="s">
        <v>115</v>
      </c>
      <c r="B78" s="129">
        <f>_xlfn.COMPOUNDVALUE(245)</f>
        <v>839</v>
      </c>
      <c r="C78" s="130">
        <v>481585</v>
      </c>
      <c r="D78" s="129">
        <f>_xlfn.COMPOUNDVALUE(246)</f>
        <v>1898</v>
      </c>
      <c r="E78" s="130">
        <v>873505</v>
      </c>
      <c r="F78" s="129">
        <f>_xlfn.COMPOUNDVALUE(247)</f>
        <v>2737</v>
      </c>
      <c r="G78" s="130">
        <v>1355090</v>
      </c>
      <c r="H78" s="129">
        <f>_xlfn.COMPOUNDVALUE(248)</f>
        <v>62</v>
      </c>
      <c r="I78" s="131">
        <v>21729</v>
      </c>
      <c r="J78" s="129">
        <v>203</v>
      </c>
      <c r="K78" s="131">
        <v>32056</v>
      </c>
      <c r="L78" s="129">
        <f>_xlfn.COMPOUNDVALUE(248)</f>
        <v>2905</v>
      </c>
      <c r="M78" s="131">
        <v>1365418</v>
      </c>
      <c r="N78" s="83" t="s">
        <v>115</v>
      </c>
    </row>
    <row r="79" spans="1:14" s="81" customFormat="1" ht="15.75" customHeight="1">
      <c r="A79" s="82" t="s">
        <v>116</v>
      </c>
      <c r="B79" s="129">
        <f>_xlfn.COMPOUNDVALUE(249)</f>
        <v>149</v>
      </c>
      <c r="C79" s="130">
        <v>56513</v>
      </c>
      <c r="D79" s="129">
        <f>_xlfn.COMPOUNDVALUE(250)</f>
        <v>192</v>
      </c>
      <c r="E79" s="130">
        <v>66143</v>
      </c>
      <c r="F79" s="129">
        <f>_xlfn.COMPOUNDVALUE(251)</f>
        <v>341</v>
      </c>
      <c r="G79" s="130">
        <v>122656</v>
      </c>
      <c r="H79" s="129">
        <f>_xlfn.COMPOUNDVALUE(252)</f>
        <v>5</v>
      </c>
      <c r="I79" s="131">
        <v>265</v>
      </c>
      <c r="J79" s="129">
        <v>20</v>
      </c>
      <c r="K79" s="131">
        <v>1183</v>
      </c>
      <c r="L79" s="129">
        <f>_xlfn.COMPOUNDVALUE(252)</f>
        <v>352</v>
      </c>
      <c r="M79" s="131">
        <v>123574</v>
      </c>
      <c r="N79" s="83" t="s">
        <v>116</v>
      </c>
    </row>
    <row r="80" spans="1:14" s="81" customFormat="1" ht="15.75" customHeight="1">
      <c r="A80" s="84" t="s">
        <v>117</v>
      </c>
      <c r="B80" s="132">
        <v>6820</v>
      </c>
      <c r="C80" s="133">
        <v>3467411</v>
      </c>
      <c r="D80" s="132">
        <v>12009</v>
      </c>
      <c r="E80" s="133">
        <v>4472862</v>
      </c>
      <c r="F80" s="132">
        <v>18829</v>
      </c>
      <c r="G80" s="133">
        <v>7940273</v>
      </c>
      <c r="H80" s="132">
        <v>539</v>
      </c>
      <c r="I80" s="134">
        <v>225606</v>
      </c>
      <c r="J80" s="132">
        <v>1432</v>
      </c>
      <c r="K80" s="134">
        <v>183980</v>
      </c>
      <c r="L80" s="132">
        <v>20051</v>
      </c>
      <c r="M80" s="134">
        <v>7898647</v>
      </c>
      <c r="N80" s="85" t="s">
        <v>118</v>
      </c>
    </row>
    <row r="81" spans="1:15" s="81" customFormat="1" ht="15.75" customHeight="1" thickBot="1">
      <c r="A81" s="89"/>
      <c r="B81" s="138"/>
      <c r="C81" s="139"/>
      <c r="D81" s="138"/>
      <c r="E81" s="139"/>
      <c r="F81" s="140"/>
      <c r="G81" s="139"/>
      <c r="H81" s="140"/>
      <c r="I81" s="139"/>
      <c r="J81" s="140"/>
      <c r="K81" s="139"/>
      <c r="L81" s="140"/>
      <c r="M81" s="139"/>
      <c r="N81" s="90"/>
      <c r="O81" s="91"/>
    </row>
    <row r="82" spans="1:14" s="81" customFormat="1" ht="15.75" customHeight="1" thickBot="1" thickTop="1">
      <c r="A82" s="92" t="s">
        <v>119</v>
      </c>
      <c r="B82" s="141">
        <v>54791</v>
      </c>
      <c r="C82" s="142">
        <v>31249216</v>
      </c>
      <c r="D82" s="141">
        <v>99396</v>
      </c>
      <c r="E82" s="142">
        <v>36443825</v>
      </c>
      <c r="F82" s="141">
        <v>154187</v>
      </c>
      <c r="G82" s="142">
        <v>67693042</v>
      </c>
      <c r="H82" s="141">
        <v>4254</v>
      </c>
      <c r="I82" s="143">
        <v>3058020</v>
      </c>
      <c r="J82" s="141">
        <v>12391</v>
      </c>
      <c r="K82" s="143">
        <v>1741213</v>
      </c>
      <c r="L82" s="141">
        <v>164344</v>
      </c>
      <c r="M82" s="143">
        <v>66376235</v>
      </c>
      <c r="N82" s="93" t="s">
        <v>120</v>
      </c>
    </row>
    <row r="83" spans="1:14" ht="13.5">
      <c r="A83" s="197" t="s">
        <v>121</v>
      </c>
      <c r="B83" s="197"/>
      <c r="C83" s="197"/>
      <c r="D83" s="197"/>
      <c r="E83" s="197"/>
      <c r="F83" s="197"/>
      <c r="G83" s="197"/>
      <c r="H83" s="197"/>
      <c r="I83" s="197"/>
      <c r="J83" s="94"/>
      <c r="K83" s="94"/>
      <c r="L83" s="65"/>
      <c r="M83" s="65"/>
      <c r="N83" s="65"/>
    </row>
    <row r="85" spans="2:10" ht="13.5">
      <c r="B85" s="95"/>
      <c r="C85" s="95"/>
      <c r="D85" s="95"/>
      <c r="E85" s="95"/>
      <c r="F85" s="95"/>
      <c r="G85" s="95"/>
      <c r="H85" s="95"/>
      <c r="J85" s="95"/>
    </row>
    <row r="86" spans="2:10" ht="13.5">
      <c r="B86" s="95"/>
      <c r="C86" s="95"/>
      <c r="D86" s="95"/>
      <c r="E86" s="95"/>
      <c r="F86" s="95"/>
      <c r="G86" s="95"/>
      <c r="H86" s="95"/>
      <c r="J86" s="95"/>
    </row>
    <row r="87" spans="2:10" ht="13.5">
      <c r="B87" s="95"/>
      <c r="C87" s="95"/>
      <c r="D87" s="95"/>
      <c r="E87" s="95"/>
      <c r="F87" s="95"/>
      <c r="G87" s="95"/>
      <c r="H87" s="95"/>
      <c r="J87" s="95"/>
    </row>
    <row r="88" spans="2:10" ht="13.5">
      <c r="B88" s="95"/>
      <c r="C88" s="95"/>
      <c r="D88" s="95"/>
      <c r="E88" s="95"/>
      <c r="F88" s="95"/>
      <c r="G88" s="95"/>
      <c r="H88" s="95"/>
      <c r="J88" s="95"/>
    </row>
    <row r="89" spans="2:10" ht="13.5">
      <c r="B89" s="95"/>
      <c r="C89" s="95"/>
      <c r="D89" s="95"/>
      <c r="E89" s="95"/>
      <c r="F89" s="95"/>
      <c r="G89" s="95"/>
      <c r="H89" s="95"/>
      <c r="J89" s="95"/>
    </row>
    <row r="90" spans="2:10" ht="13.5">
      <c r="B90" s="95"/>
      <c r="C90" s="95"/>
      <c r="D90" s="95"/>
      <c r="E90" s="95"/>
      <c r="F90" s="95"/>
      <c r="G90" s="95"/>
      <c r="H90" s="95"/>
      <c r="J90" s="95"/>
    </row>
    <row r="91" spans="2:10" ht="13.5">
      <c r="B91" s="95"/>
      <c r="C91" s="95"/>
      <c r="D91" s="95"/>
      <c r="E91" s="95"/>
      <c r="F91" s="95"/>
      <c r="G91" s="95"/>
      <c r="H91" s="95"/>
      <c r="J91" s="95"/>
    </row>
    <row r="92" spans="2:10" ht="13.5">
      <c r="B92" s="95"/>
      <c r="C92" s="95"/>
      <c r="D92" s="95"/>
      <c r="E92" s="95"/>
      <c r="F92" s="95"/>
      <c r="G92" s="95"/>
      <c r="H92" s="95"/>
      <c r="J92" s="95"/>
    </row>
    <row r="93" spans="2:10" ht="13.5">
      <c r="B93" s="95"/>
      <c r="C93" s="95"/>
      <c r="D93" s="95"/>
      <c r="E93" s="95"/>
      <c r="F93" s="95"/>
      <c r="G93" s="95"/>
      <c r="H93" s="95"/>
      <c r="J93" s="95"/>
    </row>
    <row r="94" spans="2:10" ht="13.5">
      <c r="B94" s="95"/>
      <c r="C94" s="95"/>
      <c r="D94" s="95"/>
      <c r="E94" s="95"/>
      <c r="F94" s="95"/>
      <c r="G94" s="95"/>
      <c r="H94" s="95"/>
      <c r="J94" s="95"/>
    </row>
    <row r="95" spans="2:10" ht="13.5">
      <c r="B95" s="95"/>
      <c r="C95" s="95"/>
      <c r="D95" s="95"/>
      <c r="E95" s="95"/>
      <c r="F95" s="95"/>
      <c r="G95" s="95"/>
      <c r="H95" s="95"/>
      <c r="J95" s="95"/>
    </row>
    <row r="96" spans="2:10" ht="13.5">
      <c r="B96" s="95"/>
      <c r="C96" s="95"/>
      <c r="D96" s="95"/>
      <c r="E96" s="95"/>
      <c r="F96" s="95"/>
      <c r="G96" s="95"/>
      <c r="H96" s="95"/>
      <c r="J96" s="95"/>
    </row>
    <row r="97" spans="2:10" ht="13.5">
      <c r="B97" s="95"/>
      <c r="C97" s="95"/>
      <c r="D97" s="95"/>
      <c r="E97" s="95"/>
      <c r="F97" s="95"/>
      <c r="G97" s="95"/>
      <c r="H97" s="95"/>
      <c r="J97" s="95"/>
    </row>
  </sheetData>
  <sheetProtection/>
  <mergeCells count="11">
    <mergeCell ref="A2:G2"/>
    <mergeCell ref="A3:A5"/>
    <mergeCell ref="B3:G3"/>
    <mergeCell ref="H3:I4"/>
    <mergeCell ref="J3:K4"/>
    <mergeCell ref="N3:N5"/>
    <mergeCell ref="B4:C4"/>
    <mergeCell ref="D4:E4"/>
    <mergeCell ref="F4:G4"/>
    <mergeCell ref="A83:I83"/>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1">
      <selection activeCell="A1" sqref="A1"/>
    </sheetView>
  </sheetViews>
  <sheetFormatPr defaultColWidth="9.00390625" defaultRowHeight="13.5"/>
  <cols>
    <col min="1" max="1" width="11.125" style="66" customWidth="1"/>
    <col min="2" max="2" width="10.625" style="66" customWidth="1"/>
    <col min="3" max="3" width="12.625" style="66" customWidth="1"/>
    <col min="4" max="4" width="10.625" style="66" customWidth="1"/>
    <col min="5" max="5" width="12.625" style="66" customWidth="1"/>
    <col min="6" max="6" width="10.625" style="66" customWidth="1"/>
    <col min="7" max="7" width="12.625" style="66" customWidth="1"/>
    <col min="8" max="8" width="10.625" style="66" customWidth="1"/>
    <col min="9" max="9" width="12.625" style="66" customWidth="1"/>
    <col min="10" max="10" width="10.625" style="66" customWidth="1"/>
    <col min="11" max="11" width="12.625" style="66" customWidth="1"/>
    <col min="12" max="12" width="10.625" style="66" customWidth="1"/>
    <col min="13" max="13" width="12.625" style="66" customWidth="1"/>
    <col min="14" max="14" width="11.375" style="66" customWidth="1"/>
    <col min="15" max="16384" width="9.00390625" style="66" customWidth="1"/>
  </cols>
  <sheetData>
    <row r="1" spans="1:13" ht="13.5">
      <c r="A1" s="64" t="s">
        <v>122</v>
      </c>
      <c r="B1" s="64"/>
      <c r="C1" s="64"/>
      <c r="D1" s="64"/>
      <c r="E1" s="64"/>
      <c r="F1" s="64"/>
      <c r="G1" s="64"/>
      <c r="H1" s="64"/>
      <c r="I1" s="64"/>
      <c r="J1" s="64"/>
      <c r="K1" s="64"/>
      <c r="L1" s="65"/>
      <c r="M1" s="65"/>
    </row>
    <row r="2" spans="1:13" ht="14.25" thickBot="1">
      <c r="A2" s="207" t="s">
        <v>123</v>
      </c>
      <c r="B2" s="207"/>
      <c r="C2" s="207"/>
      <c r="D2" s="207"/>
      <c r="E2" s="207"/>
      <c r="F2" s="207"/>
      <c r="G2" s="207"/>
      <c r="H2" s="207"/>
      <c r="I2" s="207"/>
      <c r="J2" s="94"/>
      <c r="K2" s="94"/>
      <c r="L2" s="65"/>
      <c r="M2" s="65"/>
    </row>
    <row r="3" spans="1:14" ht="19.5" customHeight="1">
      <c r="A3" s="202" t="s">
        <v>29</v>
      </c>
      <c r="B3" s="205" t="s">
        <v>30</v>
      </c>
      <c r="C3" s="205"/>
      <c r="D3" s="205"/>
      <c r="E3" s="205"/>
      <c r="F3" s="205"/>
      <c r="G3" s="205"/>
      <c r="H3" s="198" t="s">
        <v>13</v>
      </c>
      <c r="I3" s="199"/>
      <c r="J3" s="206" t="s">
        <v>31</v>
      </c>
      <c r="K3" s="199"/>
      <c r="L3" s="198" t="s">
        <v>32</v>
      </c>
      <c r="M3" s="199"/>
      <c r="N3" s="191" t="s">
        <v>124</v>
      </c>
    </row>
    <row r="4" spans="1:14" ht="17.25" customHeight="1">
      <c r="A4" s="203"/>
      <c r="B4" s="195" t="s">
        <v>16</v>
      </c>
      <c r="C4" s="196"/>
      <c r="D4" s="195" t="s">
        <v>34</v>
      </c>
      <c r="E4" s="196"/>
      <c r="F4" s="195" t="s">
        <v>35</v>
      </c>
      <c r="G4" s="196"/>
      <c r="H4" s="195"/>
      <c r="I4" s="200"/>
      <c r="J4" s="195"/>
      <c r="K4" s="200"/>
      <c r="L4" s="195"/>
      <c r="M4" s="200"/>
      <c r="N4" s="192"/>
    </row>
    <row r="5" spans="1:14" ht="28.5" customHeight="1">
      <c r="A5" s="204"/>
      <c r="B5" s="67" t="s">
        <v>36</v>
      </c>
      <c r="C5" s="68" t="s">
        <v>37</v>
      </c>
      <c r="D5" s="67" t="s">
        <v>36</v>
      </c>
      <c r="E5" s="68" t="s">
        <v>37</v>
      </c>
      <c r="F5" s="67" t="s">
        <v>36</v>
      </c>
      <c r="G5" s="69" t="s">
        <v>38</v>
      </c>
      <c r="H5" s="67" t="s">
        <v>36</v>
      </c>
      <c r="I5" s="70" t="s">
        <v>39</v>
      </c>
      <c r="J5" s="67" t="s">
        <v>36</v>
      </c>
      <c r="K5" s="70" t="s">
        <v>40</v>
      </c>
      <c r="L5" s="67" t="s">
        <v>36</v>
      </c>
      <c r="M5" s="71" t="s">
        <v>41</v>
      </c>
      <c r="N5" s="193"/>
    </row>
    <row r="6" spans="1:14" s="96" customFormat="1" ht="10.5">
      <c r="A6" s="73"/>
      <c r="B6" s="74" t="s">
        <v>4</v>
      </c>
      <c r="C6" s="75" t="s">
        <v>5</v>
      </c>
      <c r="D6" s="74" t="s">
        <v>4</v>
      </c>
      <c r="E6" s="75" t="s">
        <v>5</v>
      </c>
      <c r="F6" s="74" t="s">
        <v>4</v>
      </c>
      <c r="G6" s="75" t="s">
        <v>5</v>
      </c>
      <c r="H6" s="74" t="s">
        <v>4</v>
      </c>
      <c r="I6" s="76" t="s">
        <v>5</v>
      </c>
      <c r="J6" s="74" t="s">
        <v>4</v>
      </c>
      <c r="K6" s="76" t="s">
        <v>5</v>
      </c>
      <c r="L6" s="74" t="s">
        <v>4</v>
      </c>
      <c r="M6" s="76" t="s">
        <v>5</v>
      </c>
      <c r="N6" s="77"/>
    </row>
    <row r="7" spans="1:14" ht="15.75" customHeight="1">
      <c r="A7" s="79" t="s">
        <v>42</v>
      </c>
      <c r="B7" s="126">
        <f>_xlfn.COMPOUNDVALUE(253)</f>
        <v>4491</v>
      </c>
      <c r="C7" s="127">
        <v>34222671</v>
      </c>
      <c r="D7" s="126">
        <f>_xlfn.COMPOUNDVALUE(254)</f>
        <v>1840</v>
      </c>
      <c r="E7" s="127">
        <v>928456</v>
      </c>
      <c r="F7" s="126">
        <f>_xlfn.COMPOUNDVALUE(255)</f>
        <v>6331</v>
      </c>
      <c r="G7" s="127">
        <v>35151128</v>
      </c>
      <c r="H7" s="126">
        <f>_xlfn.COMPOUNDVALUE(256)</f>
        <v>281</v>
      </c>
      <c r="I7" s="128">
        <v>1355010</v>
      </c>
      <c r="J7" s="126">
        <v>480</v>
      </c>
      <c r="K7" s="128">
        <v>179279</v>
      </c>
      <c r="L7" s="126">
        <f>_xlfn.COMPOUNDVALUE(256)</f>
        <v>6711</v>
      </c>
      <c r="M7" s="128">
        <v>33975397</v>
      </c>
      <c r="N7" s="80" t="s">
        <v>42</v>
      </c>
    </row>
    <row r="8" spans="1:14" ht="15.75" customHeight="1">
      <c r="A8" s="82" t="s">
        <v>43</v>
      </c>
      <c r="B8" s="129">
        <f>_xlfn.COMPOUNDVALUE(257)</f>
        <v>1751</v>
      </c>
      <c r="C8" s="130">
        <v>18297700</v>
      </c>
      <c r="D8" s="129">
        <f>_xlfn.COMPOUNDVALUE(258)</f>
        <v>786</v>
      </c>
      <c r="E8" s="130">
        <v>389631</v>
      </c>
      <c r="F8" s="129">
        <f>_xlfn.COMPOUNDVALUE(259)</f>
        <v>2537</v>
      </c>
      <c r="G8" s="130">
        <v>18687332</v>
      </c>
      <c r="H8" s="129">
        <f>_xlfn.COMPOUNDVALUE(260)</f>
        <v>91</v>
      </c>
      <c r="I8" s="131">
        <v>4369979</v>
      </c>
      <c r="J8" s="129">
        <v>158</v>
      </c>
      <c r="K8" s="131">
        <v>22122</v>
      </c>
      <c r="L8" s="129">
        <f>_xlfn.COMPOUNDVALUE(260)</f>
        <v>2642</v>
      </c>
      <c r="M8" s="131">
        <v>14339475</v>
      </c>
      <c r="N8" s="83" t="s">
        <v>43</v>
      </c>
    </row>
    <row r="9" spans="1:14" ht="15.75" customHeight="1">
      <c r="A9" s="82" t="s">
        <v>44</v>
      </c>
      <c r="B9" s="129">
        <f>_xlfn.COMPOUNDVALUE(261)</f>
        <v>4332</v>
      </c>
      <c r="C9" s="130">
        <v>28221910</v>
      </c>
      <c r="D9" s="129">
        <f>_xlfn.COMPOUNDVALUE(262)</f>
        <v>1879</v>
      </c>
      <c r="E9" s="130">
        <v>942913</v>
      </c>
      <c r="F9" s="129">
        <f>_xlfn.COMPOUNDVALUE(263)</f>
        <v>6211</v>
      </c>
      <c r="G9" s="130">
        <v>29164823</v>
      </c>
      <c r="H9" s="129">
        <f>_xlfn.COMPOUNDVALUE(264)</f>
        <v>346</v>
      </c>
      <c r="I9" s="131">
        <v>1858736</v>
      </c>
      <c r="J9" s="129">
        <v>407</v>
      </c>
      <c r="K9" s="131">
        <v>70478</v>
      </c>
      <c r="L9" s="129">
        <f>_xlfn.COMPOUNDVALUE(264)</f>
        <v>6632</v>
      </c>
      <c r="M9" s="131">
        <v>27376565</v>
      </c>
      <c r="N9" s="83" t="s">
        <v>44</v>
      </c>
    </row>
    <row r="10" spans="1:14" ht="15.75" customHeight="1">
      <c r="A10" s="82" t="s">
        <v>45</v>
      </c>
      <c r="B10" s="129">
        <f>_xlfn.COMPOUNDVALUE(265)</f>
        <v>2376</v>
      </c>
      <c r="C10" s="130">
        <v>10946655</v>
      </c>
      <c r="D10" s="129">
        <f>_xlfn.COMPOUNDVALUE(266)</f>
        <v>1103</v>
      </c>
      <c r="E10" s="130">
        <v>539307</v>
      </c>
      <c r="F10" s="129">
        <f>_xlfn.COMPOUNDVALUE(267)</f>
        <v>3479</v>
      </c>
      <c r="G10" s="130">
        <v>11485962</v>
      </c>
      <c r="H10" s="129">
        <f>_xlfn.COMPOUNDVALUE(268)</f>
        <v>179</v>
      </c>
      <c r="I10" s="131">
        <v>573451</v>
      </c>
      <c r="J10" s="129">
        <v>232</v>
      </c>
      <c r="K10" s="131">
        <v>13361</v>
      </c>
      <c r="L10" s="129">
        <f>_xlfn.COMPOUNDVALUE(268)</f>
        <v>3674</v>
      </c>
      <c r="M10" s="131">
        <v>10925871</v>
      </c>
      <c r="N10" s="83" t="s">
        <v>45</v>
      </c>
    </row>
    <row r="11" spans="1:14" ht="15.75" customHeight="1">
      <c r="A11" s="82" t="s">
        <v>46</v>
      </c>
      <c r="B11" s="129">
        <f>_xlfn.COMPOUNDVALUE(269)</f>
        <v>3393</v>
      </c>
      <c r="C11" s="130">
        <v>14920782</v>
      </c>
      <c r="D11" s="129">
        <f>_xlfn.COMPOUNDVALUE(270)</f>
        <v>1522</v>
      </c>
      <c r="E11" s="130">
        <v>735726</v>
      </c>
      <c r="F11" s="129">
        <f>_xlfn.COMPOUNDVALUE(271)</f>
        <v>4915</v>
      </c>
      <c r="G11" s="130">
        <v>15656508</v>
      </c>
      <c r="H11" s="129">
        <f>_xlfn.COMPOUNDVALUE(272)</f>
        <v>181</v>
      </c>
      <c r="I11" s="131">
        <v>536138</v>
      </c>
      <c r="J11" s="129">
        <v>279</v>
      </c>
      <c r="K11" s="131">
        <v>8557</v>
      </c>
      <c r="L11" s="129">
        <f>_xlfn.COMPOUNDVALUE(272)</f>
        <v>5126</v>
      </c>
      <c r="M11" s="131">
        <v>15128927</v>
      </c>
      <c r="N11" s="83" t="s">
        <v>46</v>
      </c>
    </row>
    <row r="12" spans="1:14" ht="15.75" customHeight="1">
      <c r="A12" s="82" t="s">
        <v>48</v>
      </c>
      <c r="B12" s="129">
        <f>_xlfn.COMPOUNDVALUE(273)</f>
        <v>2772</v>
      </c>
      <c r="C12" s="130">
        <v>9304151</v>
      </c>
      <c r="D12" s="129">
        <f>_xlfn.COMPOUNDVALUE(274)</f>
        <v>1386</v>
      </c>
      <c r="E12" s="130">
        <v>692040</v>
      </c>
      <c r="F12" s="129">
        <f>_xlfn.COMPOUNDVALUE(275)</f>
        <v>4158</v>
      </c>
      <c r="G12" s="130">
        <v>9996191</v>
      </c>
      <c r="H12" s="129">
        <f>_xlfn.COMPOUNDVALUE(276)</f>
        <v>216</v>
      </c>
      <c r="I12" s="131">
        <v>551895</v>
      </c>
      <c r="J12" s="129">
        <v>222</v>
      </c>
      <c r="K12" s="131">
        <v>44420</v>
      </c>
      <c r="L12" s="129">
        <f>_xlfn.COMPOUNDVALUE(276)</f>
        <v>4419</v>
      </c>
      <c r="M12" s="131">
        <v>9488716</v>
      </c>
      <c r="N12" s="83" t="s">
        <v>48</v>
      </c>
    </row>
    <row r="13" spans="1:14" ht="15.75" customHeight="1">
      <c r="A13" s="82" t="s">
        <v>49</v>
      </c>
      <c r="B13" s="129">
        <f>_xlfn.COMPOUNDVALUE(277)</f>
        <v>2383</v>
      </c>
      <c r="C13" s="130">
        <v>16113046</v>
      </c>
      <c r="D13" s="129">
        <f>_xlfn.COMPOUNDVALUE(278)</f>
        <v>978</v>
      </c>
      <c r="E13" s="130">
        <v>469375</v>
      </c>
      <c r="F13" s="129">
        <f>_xlfn.COMPOUNDVALUE(279)</f>
        <v>3361</v>
      </c>
      <c r="G13" s="130">
        <v>16582421</v>
      </c>
      <c r="H13" s="129">
        <f>_xlfn.COMPOUNDVALUE(280)</f>
        <v>132</v>
      </c>
      <c r="I13" s="131">
        <v>2468934</v>
      </c>
      <c r="J13" s="129">
        <v>216</v>
      </c>
      <c r="K13" s="131">
        <v>7831</v>
      </c>
      <c r="L13" s="129">
        <f>_xlfn.COMPOUNDVALUE(280)</f>
        <v>3515</v>
      </c>
      <c r="M13" s="131">
        <v>14121318</v>
      </c>
      <c r="N13" s="83" t="s">
        <v>49</v>
      </c>
    </row>
    <row r="14" spans="1:14" ht="15.75" customHeight="1">
      <c r="A14" s="82" t="s">
        <v>50</v>
      </c>
      <c r="B14" s="129">
        <f>_xlfn.COMPOUNDVALUE(281)</f>
        <v>2528</v>
      </c>
      <c r="C14" s="130">
        <v>12910872</v>
      </c>
      <c r="D14" s="129">
        <f>_xlfn.COMPOUNDVALUE(282)</f>
        <v>848</v>
      </c>
      <c r="E14" s="130">
        <v>469164</v>
      </c>
      <c r="F14" s="129">
        <f>_xlfn.COMPOUNDVALUE(283)</f>
        <v>3376</v>
      </c>
      <c r="G14" s="130">
        <v>13380036</v>
      </c>
      <c r="H14" s="129">
        <f>_xlfn.COMPOUNDVALUE(284)</f>
        <v>164</v>
      </c>
      <c r="I14" s="131">
        <v>595868</v>
      </c>
      <c r="J14" s="129">
        <v>295</v>
      </c>
      <c r="K14" s="131">
        <v>47996</v>
      </c>
      <c r="L14" s="129">
        <f>_xlfn.COMPOUNDVALUE(284)</f>
        <v>3593</v>
      </c>
      <c r="M14" s="131">
        <v>12832164</v>
      </c>
      <c r="N14" s="83" t="s">
        <v>50</v>
      </c>
    </row>
    <row r="15" spans="1:14" ht="15.75" customHeight="1">
      <c r="A15" s="84" t="s">
        <v>151</v>
      </c>
      <c r="B15" s="132">
        <v>24026</v>
      </c>
      <c r="C15" s="133">
        <v>144937789</v>
      </c>
      <c r="D15" s="132">
        <v>10342</v>
      </c>
      <c r="E15" s="133">
        <v>5166612</v>
      </c>
      <c r="F15" s="132">
        <v>34368</v>
      </c>
      <c r="G15" s="133">
        <v>150104401</v>
      </c>
      <c r="H15" s="132">
        <v>1590</v>
      </c>
      <c r="I15" s="134">
        <v>12310013</v>
      </c>
      <c r="J15" s="132">
        <v>2289</v>
      </c>
      <c r="K15" s="134">
        <v>394043</v>
      </c>
      <c r="L15" s="132">
        <v>36312</v>
      </c>
      <c r="M15" s="134">
        <v>138188432</v>
      </c>
      <c r="N15" s="85" t="s">
        <v>52</v>
      </c>
    </row>
    <row r="16" spans="1:14" ht="15.75" customHeight="1">
      <c r="A16" s="86"/>
      <c r="B16" s="135"/>
      <c r="C16" s="136"/>
      <c r="D16" s="135"/>
      <c r="E16" s="136"/>
      <c r="F16" s="137"/>
      <c r="G16" s="136"/>
      <c r="H16" s="137"/>
      <c r="I16" s="136"/>
      <c r="J16" s="137"/>
      <c r="K16" s="136"/>
      <c r="L16" s="137"/>
      <c r="M16" s="136"/>
      <c r="N16" s="87"/>
    </row>
    <row r="17" spans="1:14" ht="15.75" customHeight="1">
      <c r="A17" s="79" t="s">
        <v>53</v>
      </c>
      <c r="B17" s="126">
        <f>_xlfn.COMPOUNDVALUE(285)</f>
        <v>5717</v>
      </c>
      <c r="C17" s="127">
        <v>38115314</v>
      </c>
      <c r="D17" s="126">
        <f>_xlfn.COMPOUNDVALUE(286)</f>
        <v>2823</v>
      </c>
      <c r="E17" s="127">
        <v>1364307</v>
      </c>
      <c r="F17" s="126">
        <f>_xlfn.COMPOUNDVALUE(287)</f>
        <v>8540</v>
      </c>
      <c r="G17" s="127">
        <v>39479621</v>
      </c>
      <c r="H17" s="126">
        <f>_xlfn.COMPOUNDVALUE(288)</f>
        <v>279</v>
      </c>
      <c r="I17" s="128">
        <v>1519012</v>
      </c>
      <c r="J17" s="126">
        <v>523</v>
      </c>
      <c r="K17" s="128">
        <v>36443</v>
      </c>
      <c r="L17" s="126">
        <f>_xlfn.COMPOUNDVALUE(288)</f>
        <v>8870</v>
      </c>
      <c r="M17" s="128">
        <v>37997052</v>
      </c>
      <c r="N17" s="88" t="s">
        <v>53</v>
      </c>
    </row>
    <row r="18" spans="1:14" ht="15.75" customHeight="1">
      <c r="A18" s="82" t="s">
        <v>54</v>
      </c>
      <c r="B18" s="129">
        <f>_xlfn.COMPOUNDVALUE(289)</f>
        <v>1664</v>
      </c>
      <c r="C18" s="130">
        <v>8328116</v>
      </c>
      <c r="D18" s="129">
        <f>_xlfn.COMPOUNDVALUE(290)</f>
        <v>929</v>
      </c>
      <c r="E18" s="130">
        <v>409429</v>
      </c>
      <c r="F18" s="129">
        <f>_xlfn.COMPOUNDVALUE(291)</f>
        <v>2593</v>
      </c>
      <c r="G18" s="130">
        <v>8737545</v>
      </c>
      <c r="H18" s="129">
        <f>_xlfn.COMPOUNDVALUE(292)</f>
        <v>110</v>
      </c>
      <c r="I18" s="131">
        <v>213426</v>
      </c>
      <c r="J18" s="129">
        <v>143</v>
      </c>
      <c r="K18" s="131">
        <v>10266</v>
      </c>
      <c r="L18" s="129">
        <f>_xlfn.COMPOUNDVALUE(292)</f>
        <v>2716</v>
      </c>
      <c r="M18" s="131">
        <v>8534385</v>
      </c>
      <c r="N18" s="83" t="s">
        <v>54</v>
      </c>
    </row>
    <row r="19" spans="1:14" ht="15.75" customHeight="1">
      <c r="A19" s="82" t="s">
        <v>55</v>
      </c>
      <c r="B19" s="129">
        <f>_xlfn.COMPOUNDVALUE(293)</f>
        <v>3760</v>
      </c>
      <c r="C19" s="130">
        <v>20819195</v>
      </c>
      <c r="D19" s="129">
        <f>_xlfn.COMPOUNDVALUE(294)</f>
        <v>2019</v>
      </c>
      <c r="E19" s="130">
        <v>991593</v>
      </c>
      <c r="F19" s="129">
        <f>_xlfn.COMPOUNDVALUE(295)</f>
        <v>5779</v>
      </c>
      <c r="G19" s="130">
        <v>21810787</v>
      </c>
      <c r="H19" s="129">
        <f>_xlfn.COMPOUNDVALUE(296)</f>
        <v>256</v>
      </c>
      <c r="I19" s="131">
        <v>1934990</v>
      </c>
      <c r="J19" s="129">
        <v>441</v>
      </c>
      <c r="K19" s="131">
        <v>59889</v>
      </c>
      <c r="L19" s="129">
        <f>_xlfn.COMPOUNDVALUE(296)</f>
        <v>6089</v>
      </c>
      <c r="M19" s="131">
        <v>19935686</v>
      </c>
      <c r="N19" s="83" t="s">
        <v>55</v>
      </c>
    </row>
    <row r="20" spans="1:14" ht="15.75" customHeight="1">
      <c r="A20" s="82" t="s">
        <v>56</v>
      </c>
      <c r="B20" s="129">
        <f>_xlfn.COMPOUNDVALUE(297)</f>
        <v>1157</v>
      </c>
      <c r="C20" s="130">
        <v>5006792</v>
      </c>
      <c r="D20" s="129">
        <f>_xlfn.COMPOUNDVALUE(298)</f>
        <v>604</v>
      </c>
      <c r="E20" s="130">
        <v>280780</v>
      </c>
      <c r="F20" s="129">
        <f>_xlfn.COMPOUNDVALUE(299)</f>
        <v>1761</v>
      </c>
      <c r="G20" s="130">
        <v>5287572</v>
      </c>
      <c r="H20" s="129">
        <f>_xlfn.COMPOUNDVALUE(300)</f>
        <v>87</v>
      </c>
      <c r="I20" s="131">
        <v>531756</v>
      </c>
      <c r="J20" s="129">
        <v>112</v>
      </c>
      <c r="K20" s="131">
        <v>17351</v>
      </c>
      <c r="L20" s="129">
        <f>_xlfn.COMPOUNDVALUE(300)</f>
        <v>1856</v>
      </c>
      <c r="M20" s="131">
        <v>4773167</v>
      </c>
      <c r="N20" s="83" t="s">
        <v>56</v>
      </c>
    </row>
    <row r="21" spans="1:14" ht="15.75" customHeight="1">
      <c r="A21" s="82" t="s">
        <v>57</v>
      </c>
      <c r="B21" s="129">
        <f>_xlfn.COMPOUNDVALUE(301)</f>
        <v>2035</v>
      </c>
      <c r="C21" s="130">
        <v>7800855</v>
      </c>
      <c r="D21" s="129">
        <f>_xlfn.COMPOUNDVALUE(302)</f>
        <v>1109</v>
      </c>
      <c r="E21" s="130">
        <v>508169</v>
      </c>
      <c r="F21" s="129">
        <f>_xlfn.COMPOUNDVALUE(303)</f>
        <v>3144</v>
      </c>
      <c r="G21" s="130">
        <v>8309025</v>
      </c>
      <c r="H21" s="129">
        <f>_xlfn.COMPOUNDVALUE(304)</f>
        <v>108</v>
      </c>
      <c r="I21" s="131">
        <v>521987</v>
      </c>
      <c r="J21" s="129">
        <v>269</v>
      </c>
      <c r="K21" s="131">
        <v>26828</v>
      </c>
      <c r="L21" s="129">
        <f>_xlfn.COMPOUNDVALUE(304)</f>
        <v>3270</v>
      </c>
      <c r="M21" s="131">
        <v>7813866</v>
      </c>
      <c r="N21" s="83" t="s">
        <v>57</v>
      </c>
    </row>
    <row r="22" spans="1:14" ht="15.75" customHeight="1">
      <c r="A22" s="82" t="s">
        <v>58</v>
      </c>
      <c r="B22" s="129">
        <f>_xlfn.COMPOUNDVALUE(305)</f>
        <v>1140</v>
      </c>
      <c r="C22" s="130">
        <v>8940208</v>
      </c>
      <c r="D22" s="129">
        <f>_xlfn.COMPOUNDVALUE(306)</f>
        <v>623</v>
      </c>
      <c r="E22" s="130">
        <v>283746</v>
      </c>
      <c r="F22" s="129">
        <f>_xlfn.COMPOUNDVALUE(307)</f>
        <v>1763</v>
      </c>
      <c r="G22" s="130">
        <v>9223954</v>
      </c>
      <c r="H22" s="129">
        <f>_xlfn.COMPOUNDVALUE(308)</f>
        <v>72</v>
      </c>
      <c r="I22" s="131">
        <v>352688</v>
      </c>
      <c r="J22" s="129">
        <v>82</v>
      </c>
      <c r="K22" s="131">
        <v>-38477</v>
      </c>
      <c r="L22" s="129">
        <f>_xlfn.COMPOUNDVALUE(308)</f>
        <v>1849</v>
      </c>
      <c r="M22" s="131">
        <v>8832789</v>
      </c>
      <c r="N22" s="83" t="s">
        <v>58</v>
      </c>
    </row>
    <row r="23" spans="1:14" ht="15.75" customHeight="1">
      <c r="A23" s="82" t="s">
        <v>59</v>
      </c>
      <c r="B23" s="129">
        <f>_xlfn.COMPOUNDVALUE(309)</f>
        <v>1949</v>
      </c>
      <c r="C23" s="130">
        <v>7679183</v>
      </c>
      <c r="D23" s="129">
        <f>_xlfn.COMPOUNDVALUE(310)</f>
        <v>946</v>
      </c>
      <c r="E23" s="130">
        <v>462618</v>
      </c>
      <c r="F23" s="129">
        <f>_xlfn.COMPOUNDVALUE(311)</f>
        <v>2895</v>
      </c>
      <c r="G23" s="130">
        <v>8141801</v>
      </c>
      <c r="H23" s="129">
        <f>_xlfn.COMPOUNDVALUE(312)</f>
        <v>118</v>
      </c>
      <c r="I23" s="131">
        <v>3765888</v>
      </c>
      <c r="J23" s="129">
        <v>150</v>
      </c>
      <c r="K23" s="131">
        <v>32264</v>
      </c>
      <c r="L23" s="129">
        <f>_xlfn.COMPOUNDVALUE(312)</f>
        <v>3036</v>
      </c>
      <c r="M23" s="131">
        <v>4408176</v>
      </c>
      <c r="N23" s="83" t="s">
        <v>59</v>
      </c>
    </row>
    <row r="24" spans="1:14" ht="15.75" customHeight="1">
      <c r="A24" s="82" t="s">
        <v>60</v>
      </c>
      <c r="B24" s="129">
        <f>_xlfn.COMPOUNDVALUE(313)</f>
        <v>1233</v>
      </c>
      <c r="C24" s="130">
        <v>4240780</v>
      </c>
      <c r="D24" s="129">
        <f>_xlfn.COMPOUNDVALUE(314)</f>
        <v>658</v>
      </c>
      <c r="E24" s="130">
        <v>326328</v>
      </c>
      <c r="F24" s="129">
        <f>_xlfn.COMPOUNDVALUE(315)</f>
        <v>1891</v>
      </c>
      <c r="G24" s="130">
        <v>4567108</v>
      </c>
      <c r="H24" s="129">
        <f>_xlfn.COMPOUNDVALUE(316)</f>
        <v>85</v>
      </c>
      <c r="I24" s="131">
        <v>842692</v>
      </c>
      <c r="J24" s="129">
        <v>122</v>
      </c>
      <c r="K24" s="131">
        <v>12252</v>
      </c>
      <c r="L24" s="129">
        <f>_xlfn.COMPOUNDVALUE(316)</f>
        <v>1987</v>
      </c>
      <c r="M24" s="131">
        <v>3736668</v>
      </c>
      <c r="N24" s="83" t="s">
        <v>60</v>
      </c>
    </row>
    <row r="25" spans="1:14" ht="15.75" customHeight="1">
      <c r="A25" s="84" t="s">
        <v>152</v>
      </c>
      <c r="B25" s="132">
        <v>18655</v>
      </c>
      <c r="C25" s="133">
        <v>100930443</v>
      </c>
      <c r="D25" s="132">
        <v>9711</v>
      </c>
      <c r="E25" s="133">
        <v>4626970</v>
      </c>
      <c r="F25" s="132">
        <v>28366</v>
      </c>
      <c r="G25" s="133">
        <v>105557412</v>
      </c>
      <c r="H25" s="132">
        <v>1115</v>
      </c>
      <c r="I25" s="134">
        <v>9682437</v>
      </c>
      <c r="J25" s="132">
        <v>1842</v>
      </c>
      <c r="K25" s="134">
        <v>156815</v>
      </c>
      <c r="L25" s="132">
        <v>29673</v>
      </c>
      <c r="M25" s="134">
        <v>96031790</v>
      </c>
      <c r="N25" s="85" t="s">
        <v>62</v>
      </c>
    </row>
    <row r="26" spans="1:14" ht="15.75" customHeight="1">
      <c r="A26" s="86"/>
      <c r="B26" s="135"/>
      <c r="C26" s="136"/>
      <c r="D26" s="135"/>
      <c r="E26" s="136"/>
      <c r="F26" s="137"/>
      <c r="G26" s="136"/>
      <c r="H26" s="137"/>
      <c r="I26" s="136"/>
      <c r="J26" s="137"/>
      <c r="K26" s="136"/>
      <c r="L26" s="137"/>
      <c r="M26" s="136"/>
      <c r="N26" s="87"/>
    </row>
    <row r="27" spans="1:14" ht="15.75" customHeight="1">
      <c r="A27" s="79" t="s">
        <v>63</v>
      </c>
      <c r="B27" s="126">
        <f>_xlfn.COMPOUNDVALUE(317)</f>
        <v>3638</v>
      </c>
      <c r="C27" s="127">
        <v>27997220</v>
      </c>
      <c r="D27" s="126">
        <f>_xlfn.COMPOUNDVALUE(318)</f>
        <v>1768</v>
      </c>
      <c r="E27" s="127">
        <v>841623</v>
      </c>
      <c r="F27" s="126">
        <f>_xlfn.COMPOUNDVALUE(319)</f>
        <v>5406</v>
      </c>
      <c r="G27" s="127">
        <v>28838843</v>
      </c>
      <c r="H27" s="126">
        <f>_xlfn.COMPOUNDVALUE(320)</f>
        <v>249</v>
      </c>
      <c r="I27" s="128">
        <v>1428687</v>
      </c>
      <c r="J27" s="126">
        <v>538</v>
      </c>
      <c r="K27" s="128">
        <v>71183</v>
      </c>
      <c r="L27" s="126">
        <f>_xlfn.COMPOUNDVALUE(320)</f>
        <v>5694</v>
      </c>
      <c r="M27" s="128">
        <v>27481339</v>
      </c>
      <c r="N27" s="88" t="s">
        <v>63</v>
      </c>
    </row>
    <row r="28" spans="1:14" ht="15.75" customHeight="1">
      <c r="A28" s="79" t="s">
        <v>64</v>
      </c>
      <c r="B28" s="126">
        <f>_xlfn.COMPOUNDVALUE(321)</f>
        <v>5191</v>
      </c>
      <c r="C28" s="127">
        <v>43291208</v>
      </c>
      <c r="D28" s="126">
        <f>_xlfn.COMPOUNDVALUE(322)</f>
        <v>2578</v>
      </c>
      <c r="E28" s="127">
        <v>1235106</v>
      </c>
      <c r="F28" s="126">
        <f>_xlfn.COMPOUNDVALUE(323)</f>
        <v>7769</v>
      </c>
      <c r="G28" s="127">
        <v>44526314</v>
      </c>
      <c r="H28" s="126">
        <f>_xlfn.COMPOUNDVALUE(324)</f>
        <v>267</v>
      </c>
      <c r="I28" s="128">
        <v>5714066</v>
      </c>
      <c r="J28" s="126">
        <v>449</v>
      </c>
      <c r="K28" s="128">
        <v>58809</v>
      </c>
      <c r="L28" s="126">
        <f>_xlfn.COMPOUNDVALUE(324)</f>
        <v>8095</v>
      </c>
      <c r="M28" s="128">
        <v>38871057</v>
      </c>
      <c r="N28" s="80" t="s">
        <v>64</v>
      </c>
    </row>
    <row r="29" spans="1:14" ht="15.75" customHeight="1">
      <c r="A29" s="82" t="s">
        <v>65</v>
      </c>
      <c r="B29" s="129">
        <f>_xlfn.COMPOUNDVALUE(325)</f>
        <v>1773</v>
      </c>
      <c r="C29" s="130">
        <v>8401017</v>
      </c>
      <c r="D29" s="129">
        <f>_xlfn.COMPOUNDVALUE(326)</f>
        <v>821</v>
      </c>
      <c r="E29" s="130">
        <v>367383</v>
      </c>
      <c r="F29" s="129">
        <f>_xlfn.COMPOUNDVALUE(327)</f>
        <v>2594</v>
      </c>
      <c r="G29" s="130">
        <v>8768400</v>
      </c>
      <c r="H29" s="129">
        <f>_xlfn.COMPOUNDVALUE(328)</f>
        <v>105</v>
      </c>
      <c r="I29" s="131">
        <v>2288752</v>
      </c>
      <c r="J29" s="129">
        <v>146</v>
      </c>
      <c r="K29" s="131">
        <v>25545</v>
      </c>
      <c r="L29" s="129">
        <f>_xlfn.COMPOUNDVALUE(328)</f>
        <v>2717</v>
      </c>
      <c r="M29" s="131">
        <v>6505193</v>
      </c>
      <c r="N29" s="83" t="s">
        <v>65</v>
      </c>
    </row>
    <row r="30" spans="1:14" ht="15.75" customHeight="1">
      <c r="A30" s="82" t="s">
        <v>66</v>
      </c>
      <c r="B30" s="129">
        <f>_xlfn.COMPOUNDVALUE(329)</f>
        <v>2304</v>
      </c>
      <c r="C30" s="130">
        <v>12118407</v>
      </c>
      <c r="D30" s="129">
        <f>_xlfn.COMPOUNDVALUE(330)</f>
        <v>965</v>
      </c>
      <c r="E30" s="130">
        <v>500687</v>
      </c>
      <c r="F30" s="129">
        <f>_xlfn.COMPOUNDVALUE(331)</f>
        <v>3269</v>
      </c>
      <c r="G30" s="130">
        <v>12619094</v>
      </c>
      <c r="H30" s="129">
        <f>_xlfn.COMPOUNDVALUE(332)</f>
        <v>202</v>
      </c>
      <c r="I30" s="131">
        <v>2547613</v>
      </c>
      <c r="J30" s="129">
        <v>223</v>
      </c>
      <c r="K30" s="131">
        <v>18030</v>
      </c>
      <c r="L30" s="129">
        <f>_xlfn.COMPOUNDVALUE(332)</f>
        <v>3485</v>
      </c>
      <c r="M30" s="131">
        <v>10089510</v>
      </c>
      <c r="N30" s="83" t="s">
        <v>66</v>
      </c>
    </row>
    <row r="31" spans="1:14" ht="15.75" customHeight="1">
      <c r="A31" s="82" t="s">
        <v>67</v>
      </c>
      <c r="B31" s="129">
        <f>_xlfn.COMPOUNDVALUE(333)</f>
        <v>861</v>
      </c>
      <c r="C31" s="130">
        <v>2981266</v>
      </c>
      <c r="D31" s="129">
        <f>_xlfn.COMPOUNDVALUE(334)</f>
        <v>417</v>
      </c>
      <c r="E31" s="130">
        <v>204086</v>
      </c>
      <c r="F31" s="129">
        <f>_xlfn.COMPOUNDVALUE(335)</f>
        <v>1278</v>
      </c>
      <c r="G31" s="130">
        <v>3185352</v>
      </c>
      <c r="H31" s="129">
        <f>_xlfn.COMPOUNDVALUE(336)</f>
        <v>32</v>
      </c>
      <c r="I31" s="131">
        <v>77634</v>
      </c>
      <c r="J31" s="129">
        <v>100</v>
      </c>
      <c r="K31" s="131">
        <v>11102</v>
      </c>
      <c r="L31" s="129">
        <f>_xlfn.COMPOUNDVALUE(336)</f>
        <v>1322</v>
      </c>
      <c r="M31" s="131">
        <v>3118820</v>
      </c>
      <c r="N31" s="83" t="s">
        <v>67</v>
      </c>
    </row>
    <row r="32" spans="1:14" ht="15.75" customHeight="1">
      <c r="A32" s="82" t="s">
        <v>68</v>
      </c>
      <c r="B32" s="129">
        <f>_xlfn.COMPOUNDVALUE(337)</f>
        <v>3740</v>
      </c>
      <c r="C32" s="130">
        <v>22530826</v>
      </c>
      <c r="D32" s="129">
        <f>_xlfn.COMPOUNDVALUE(338)</f>
        <v>1712</v>
      </c>
      <c r="E32" s="130">
        <v>867231</v>
      </c>
      <c r="F32" s="129">
        <f>_xlfn.COMPOUNDVALUE(339)</f>
        <v>5452</v>
      </c>
      <c r="G32" s="130">
        <v>23398058</v>
      </c>
      <c r="H32" s="129">
        <f>_xlfn.COMPOUNDVALUE(340)</f>
        <v>367</v>
      </c>
      <c r="I32" s="131">
        <v>2434894</v>
      </c>
      <c r="J32" s="129">
        <v>290</v>
      </c>
      <c r="K32" s="131">
        <v>92050</v>
      </c>
      <c r="L32" s="129">
        <f>_xlfn.COMPOUNDVALUE(340)</f>
        <v>5864</v>
      </c>
      <c r="M32" s="131">
        <v>21055214</v>
      </c>
      <c r="N32" s="83" t="s">
        <v>68</v>
      </c>
    </row>
    <row r="33" spans="1:14" ht="15.75" customHeight="1">
      <c r="A33" s="82" t="s">
        <v>69</v>
      </c>
      <c r="B33" s="129">
        <f>_xlfn.COMPOUNDVALUE(341)</f>
        <v>613</v>
      </c>
      <c r="C33" s="130">
        <v>2055507</v>
      </c>
      <c r="D33" s="129">
        <f>_xlfn.COMPOUNDVALUE(342)</f>
        <v>294</v>
      </c>
      <c r="E33" s="130">
        <v>137006</v>
      </c>
      <c r="F33" s="129">
        <f>_xlfn.COMPOUNDVALUE(343)</f>
        <v>907</v>
      </c>
      <c r="G33" s="130">
        <v>2192513</v>
      </c>
      <c r="H33" s="129">
        <f>_xlfn.COMPOUNDVALUE(344)</f>
        <v>47</v>
      </c>
      <c r="I33" s="131">
        <v>181697</v>
      </c>
      <c r="J33" s="129">
        <v>47</v>
      </c>
      <c r="K33" s="131">
        <v>5384</v>
      </c>
      <c r="L33" s="129">
        <f>_xlfn.COMPOUNDVALUE(344)</f>
        <v>963</v>
      </c>
      <c r="M33" s="131">
        <v>2016200</v>
      </c>
      <c r="N33" s="83" t="s">
        <v>69</v>
      </c>
    </row>
    <row r="34" spans="1:14" ht="15.75" customHeight="1">
      <c r="A34" s="82" t="s">
        <v>70</v>
      </c>
      <c r="B34" s="129">
        <f>_xlfn.COMPOUNDVALUE(345)</f>
        <v>687</v>
      </c>
      <c r="C34" s="130">
        <v>3256729</v>
      </c>
      <c r="D34" s="129">
        <f>_xlfn.COMPOUNDVALUE(346)</f>
        <v>409</v>
      </c>
      <c r="E34" s="130">
        <v>206419</v>
      </c>
      <c r="F34" s="129">
        <f>_xlfn.COMPOUNDVALUE(347)</f>
        <v>1096</v>
      </c>
      <c r="G34" s="130">
        <v>3463148</v>
      </c>
      <c r="H34" s="129">
        <f>_xlfn.COMPOUNDVALUE(348)</f>
        <v>36</v>
      </c>
      <c r="I34" s="131">
        <v>80074</v>
      </c>
      <c r="J34" s="129">
        <v>68</v>
      </c>
      <c r="K34" s="131">
        <v>11179</v>
      </c>
      <c r="L34" s="129">
        <f>_xlfn.COMPOUNDVALUE(348)</f>
        <v>1140</v>
      </c>
      <c r="M34" s="131">
        <v>3394253</v>
      </c>
      <c r="N34" s="83" t="s">
        <v>70</v>
      </c>
    </row>
    <row r="35" spans="1:14" ht="15.75" customHeight="1">
      <c r="A35" s="82" t="s">
        <v>71</v>
      </c>
      <c r="B35" s="129">
        <f>_xlfn.COMPOUNDVALUE(349)</f>
        <v>665</v>
      </c>
      <c r="C35" s="130">
        <v>2301246</v>
      </c>
      <c r="D35" s="129">
        <f>_xlfn.COMPOUNDVALUE(350)</f>
        <v>326</v>
      </c>
      <c r="E35" s="130">
        <v>166436</v>
      </c>
      <c r="F35" s="129">
        <f>_xlfn.COMPOUNDVALUE(351)</f>
        <v>991</v>
      </c>
      <c r="G35" s="130">
        <v>2467682</v>
      </c>
      <c r="H35" s="129">
        <f>_xlfn.COMPOUNDVALUE(352)</f>
        <v>38</v>
      </c>
      <c r="I35" s="131">
        <v>60394</v>
      </c>
      <c r="J35" s="129">
        <v>70</v>
      </c>
      <c r="K35" s="131">
        <v>24112</v>
      </c>
      <c r="L35" s="129">
        <f>_xlfn.COMPOUNDVALUE(352)</f>
        <v>1035</v>
      </c>
      <c r="M35" s="131">
        <v>2431400</v>
      </c>
      <c r="N35" s="83" t="s">
        <v>71</v>
      </c>
    </row>
    <row r="36" spans="1:14" ht="15.75" customHeight="1">
      <c r="A36" s="84" t="s">
        <v>153</v>
      </c>
      <c r="B36" s="132">
        <v>19472</v>
      </c>
      <c r="C36" s="133">
        <v>124933428</v>
      </c>
      <c r="D36" s="132">
        <v>9290</v>
      </c>
      <c r="E36" s="133">
        <v>4525976</v>
      </c>
      <c r="F36" s="132">
        <v>28762</v>
      </c>
      <c r="G36" s="133">
        <v>129459404</v>
      </c>
      <c r="H36" s="132">
        <v>1343</v>
      </c>
      <c r="I36" s="134">
        <v>14813812</v>
      </c>
      <c r="J36" s="132">
        <v>1931</v>
      </c>
      <c r="K36" s="134">
        <v>317394</v>
      </c>
      <c r="L36" s="132">
        <v>30315</v>
      </c>
      <c r="M36" s="134">
        <v>114962985</v>
      </c>
      <c r="N36" s="85" t="s">
        <v>73</v>
      </c>
    </row>
    <row r="37" spans="1:14" ht="15.75" customHeight="1">
      <c r="A37" s="86"/>
      <c r="B37" s="135"/>
      <c r="C37" s="136"/>
      <c r="D37" s="135"/>
      <c r="E37" s="136"/>
      <c r="F37" s="137"/>
      <c r="G37" s="136"/>
      <c r="H37" s="137"/>
      <c r="I37" s="136"/>
      <c r="J37" s="137"/>
      <c r="K37" s="136"/>
      <c r="L37" s="137"/>
      <c r="M37" s="136"/>
      <c r="N37" s="87"/>
    </row>
    <row r="38" spans="1:14" ht="15.75" customHeight="1">
      <c r="A38" s="79" t="s">
        <v>74</v>
      </c>
      <c r="B38" s="126">
        <f>_xlfn.COMPOUNDVALUE(353)</f>
        <v>6267</v>
      </c>
      <c r="C38" s="127">
        <v>32525832</v>
      </c>
      <c r="D38" s="126">
        <f>_xlfn.COMPOUNDVALUE(354)</f>
        <v>3273</v>
      </c>
      <c r="E38" s="127">
        <v>1666728</v>
      </c>
      <c r="F38" s="126">
        <f>_xlfn.COMPOUNDVALUE(355)</f>
        <v>9540</v>
      </c>
      <c r="G38" s="127">
        <v>34192560</v>
      </c>
      <c r="H38" s="126">
        <f>_xlfn.COMPOUNDVALUE(356)</f>
        <v>460</v>
      </c>
      <c r="I38" s="128">
        <v>2700252</v>
      </c>
      <c r="J38" s="126">
        <v>722</v>
      </c>
      <c r="K38" s="128">
        <v>101460</v>
      </c>
      <c r="L38" s="126">
        <f>_xlfn.COMPOUNDVALUE(356)</f>
        <v>10076</v>
      </c>
      <c r="M38" s="128">
        <v>31593768</v>
      </c>
      <c r="N38" s="88" t="s">
        <v>74</v>
      </c>
    </row>
    <row r="39" spans="1:14" ht="15.75" customHeight="1">
      <c r="A39" s="79" t="s">
        <v>75</v>
      </c>
      <c r="B39" s="126">
        <f>_xlfn.COMPOUNDVALUE(357)</f>
        <v>3101</v>
      </c>
      <c r="C39" s="127">
        <v>15617623</v>
      </c>
      <c r="D39" s="126">
        <f>_xlfn.COMPOUNDVALUE(358)</f>
        <v>1359</v>
      </c>
      <c r="E39" s="127">
        <v>652912</v>
      </c>
      <c r="F39" s="126">
        <f>_xlfn.COMPOUNDVALUE(359)</f>
        <v>4460</v>
      </c>
      <c r="G39" s="127">
        <v>16270536</v>
      </c>
      <c r="H39" s="126">
        <f>_xlfn.COMPOUNDVALUE(360)</f>
        <v>198</v>
      </c>
      <c r="I39" s="128">
        <v>630359</v>
      </c>
      <c r="J39" s="126">
        <v>300</v>
      </c>
      <c r="K39" s="128">
        <v>45127</v>
      </c>
      <c r="L39" s="126">
        <f>_xlfn.COMPOUNDVALUE(360)</f>
        <v>4692</v>
      </c>
      <c r="M39" s="128">
        <v>15685303</v>
      </c>
      <c r="N39" s="80" t="s">
        <v>75</v>
      </c>
    </row>
    <row r="40" spans="1:14" ht="15.75" customHeight="1">
      <c r="A40" s="79" t="s">
        <v>76</v>
      </c>
      <c r="B40" s="126">
        <f>_xlfn.COMPOUNDVALUE(361)</f>
        <v>6964</v>
      </c>
      <c r="C40" s="127">
        <v>28460281</v>
      </c>
      <c r="D40" s="126">
        <f>_xlfn.COMPOUNDVALUE(362)</f>
        <v>3671</v>
      </c>
      <c r="E40" s="127">
        <v>1750008</v>
      </c>
      <c r="F40" s="126">
        <f>_xlfn.COMPOUNDVALUE(363)</f>
        <v>10635</v>
      </c>
      <c r="G40" s="127">
        <v>30210290</v>
      </c>
      <c r="H40" s="126">
        <f>_xlfn.COMPOUNDVALUE(364)</f>
        <v>461</v>
      </c>
      <c r="I40" s="128">
        <v>1785103</v>
      </c>
      <c r="J40" s="126">
        <v>597</v>
      </c>
      <c r="K40" s="128">
        <v>57291</v>
      </c>
      <c r="L40" s="126">
        <f>_xlfn.COMPOUNDVALUE(364)</f>
        <v>11173</v>
      </c>
      <c r="M40" s="128">
        <v>28482478</v>
      </c>
      <c r="N40" s="80" t="s">
        <v>76</v>
      </c>
    </row>
    <row r="41" spans="1:14" ht="15.75" customHeight="1">
      <c r="A41" s="79" t="s">
        <v>77</v>
      </c>
      <c r="B41" s="126">
        <f>_xlfn.COMPOUNDVALUE(365)</f>
        <v>3573</v>
      </c>
      <c r="C41" s="127">
        <v>18854567</v>
      </c>
      <c r="D41" s="126">
        <f>_xlfn.COMPOUNDVALUE(366)</f>
        <v>1966</v>
      </c>
      <c r="E41" s="127">
        <v>981048</v>
      </c>
      <c r="F41" s="126">
        <f>_xlfn.COMPOUNDVALUE(367)</f>
        <v>5539</v>
      </c>
      <c r="G41" s="127">
        <v>19835615</v>
      </c>
      <c r="H41" s="126">
        <f>_xlfn.COMPOUNDVALUE(368)</f>
        <v>319</v>
      </c>
      <c r="I41" s="128">
        <v>711299</v>
      </c>
      <c r="J41" s="126">
        <v>351</v>
      </c>
      <c r="K41" s="128">
        <v>62456</v>
      </c>
      <c r="L41" s="126">
        <f>_xlfn.COMPOUNDVALUE(368)</f>
        <v>5909</v>
      </c>
      <c r="M41" s="128">
        <v>19186773</v>
      </c>
      <c r="N41" s="80" t="s">
        <v>77</v>
      </c>
    </row>
    <row r="42" spans="1:14" ht="15.75" customHeight="1">
      <c r="A42" s="79" t="s">
        <v>78</v>
      </c>
      <c r="B42" s="126">
        <f>_xlfn.COMPOUNDVALUE(369)</f>
        <v>4911</v>
      </c>
      <c r="C42" s="127">
        <v>42844062</v>
      </c>
      <c r="D42" s="126">
        <f>_xlfn.COMPOUNDVALUE(370)</f>
        <v>2510</v>
      </c>
      <c r="E42" s="127">
        <v>1245418</v>
      </c>
      <c r="F42" s="126">
        <f>_xlfn.COMPOUNDVALUE(371)</f>
        <v>7421</v>
      </c>
      <c r="G42" s="127">
        <v>44089480</v>
      </c>
      <c r="H42" s="126">
        <f>_xlfn.COMPOUNDVALUE(372)</f>
        <v>421</v>
      </c>
      <c r="I42" s="128">
        <v>3489283</v>
      </c>
      <c r="J42" s="126">
        <v>476</v>
      </c>
      <c r="K42" s="128">
        <v>19604</v>
      </c>
      <c r="L42" s="126">
        <f>_xlfn.COMPOUNDVALUE(372)</f>
        <v>7899</v>
      </c>
      <c r="M42" s="128">
        <v>40619801</v>
      </c>
      <c r="N42" s="80" t="s">
        <v>78</v>
      </c>
    </row>
    <row r="43" spans="1:14" ht="15.75" customHeight="1">
      <c r="A43" s="79" t="s">
        <v>79</v>
      </c>
      <c r="B43" s="126">
        <f>_xlfn.COMPOUNDVALUE(373)</f>
        <v>4542</v>
      </c>
      <c r="C43" s="127">
        <v>36212860</v>
      </c>
      <c r="D43" s="126">
        <f>_xlfn.COMPOUNDVALUE(374)</f>
        <v>2047</v>
      </c>
      <c r="E43" s="127">
        <v>1004824</v>
      </c>
      <c r="F43" s="126">
        <f>_xlfn.COMPOUNDVALUE(375)</f>
        <v>6589</v>
      </c>
      <c r="G43" s="127">
        <v>37217684</v>
      </c>
      <c r="H43" s="126">
        <f>_xlfn.COMPOUNDVALUE(376)</f>
        <v>407</v>
      </c>
      <c r="I43" s="128">
        <v>2658947</v>
      </c>
      <c r="J43" s="126">
        <v>449</v>
      </c>
      <c r="K43" s="128">
        <v>66683</v>
      </c>
      <c r="L43" s="126">
        <f>_xlfn.COMPOUNDVALUE(376)</f>
        <v>7090</v>
      </c>
      <c r="M43" s="128">
        <v>34625420</v>
      </c>
      <c r="N43" s="80" t="s">
        <v>79</v>
      </c>
    </row>
    <row r="44" spans="1:14" ht="15.75" customHeight="1">
      <c r="A44" s="79" t="s">
        <v>80</v>
      </c>
      <c r="B44" s="126">
        <f>_xlfn.COMPOUNDVALUE(377)</f>
        <v>1995</v>
      </c>
      <c r="C44" s="127">
        <v>9695914</v>
      </c>
      <c r="D44" s="126">
        <f>_xlfn.COMPOUNDVALUE(378)</f>
        <v>877</v>
      </c>
      <c r="E44" s="127">
        <v>405153</v>
      </c>
      <c r="F44" s="126">
        <f>_xlfn.COMPOUNDVALUE(379)</f>
        <v>2872</v>
      </c>
      <c r="G44" s="127">
        <v>10101066</v>
      </c>
      <c r="H44" s="126">
        <f>_xlfn.COMPOUNDVALUE(380)</f>
        <v>173</v>
      </c>
      <c r="I44" s="128">
        <v>1833209</v>
      </c>
      <c r="J44" s="126">
        <v>190</v>
      </c>
      <c r="K44" s="128">
        <v>16903</v>
      </c>
      <c r="L44" s="126">
        <f>_xlfn.COMPOUNDVALUE(380)</f>
        <v>3067</v>
      </c>
      <c r="M44" s="128">
        <v>8284760</v>
      </c>
      <c r="N44" s="80" t="s">
        <v>80</v>
      </c>
    </row>
    <row r="45" spans="1:14" ht="15.75" customHeight="1">
      <c r="A45" s="79" t="s">
        <v>81</v>
      </c>
      <c r="B45" s="126">
        <f>_xlfn.COMPOUNDVALUE(381)</f>
        <v>958</v>
      </c>
      <c r="C45" s="127">
        <v>4770413</v>
      </c>
      <c r="D45" s="126">
        <f>_xlfn.COMPOUNDVALUE(382)</f>
        <v>513</v>
      </c>
      <c r="E45" s="127">
        <v>321414</v>
      </c>
      <c r="F45" s="126">
        <f>_xlfn.COMPOUNDVALUE(383)</f>
        <v>1471</v>
      </c>
      <c r="G45" s="127">
        <v>5091826</v>
      </c>
      <c r="H45" s="126">
        <f>_xlfn.COMPOUNDVALUE(384)</f>
        <v>47</v>
      </c>
      <c r="I45" s="128">
        <v>44413</v>
      </c>
      <c r="J45" s="126">
        <v>121</v>
      </c>
      <c r="K45" s="128">
        <v>10386</v>
      </c>
      <c r="L45" s="126">
        <f>_xlfn.COMPOUNDVALUE(384)</f>
        <v>1533</v>
      </c>
      <c r="M45" s="128">
        <v>5057799</v>
      </c>
      <c r="N45" s="80" t="s">
        <v>81</v>
      </c>
    </row>
    <row r="46" spans="1:14" ht="15.75" customHeight="1">
      <c r="A46" s="82" t="s">
        <v>82</v>
      </c>
      <c r="B46" s="129">
        <f>_xlfn.COMPOUNDVALUE(385)</f>
        <v>5053</v>
      </c>
      <c r="C46" s="130">
        <v>22592972</v>
      </c>
      <c r="D46" s="129">
        <f>_xlfn.COMPOUNDVALUE(386)</f>
        <v>2750</v>
      </c>
      <c r="E46" s="130">
        <v>1308513</v>
      </c>
      <c r="F46" s="129">
        <f>_xlfn.COMPOUNDVALUE(387)</f>
        <v>7803</v>
      </c>
      <c r="G46" s="130">
        <v>23901485</v>
      </c>
      <c r="H46" s="129">
        <f>_xlfn.COMPOUNDVALUE(388)</f>
        <v>330</v>
      </c>
      <c r="I46" s="131">
        <v>1950573</v>
      </c>
      <c r="J46" s="129">
        <v>473</v>
      </c>
      <c r="K46" s="131">
        <v>55689</v>
      </c>
      <c r="L46" s="129">
        <f>_xlfn.COMPOUNDVALUE(388)</f>
        <v>8197</v>
      </c>
      <c r="M46" s="131">
        <v>22006601</v>
      </c>
      <c r="N46" s="83" t="s">
        <v>82</v>
      </c>
    </row>
    <row r="47" spans="1:14" ht="15.75" customHeight="1">
      <c r="A47" s="82" t="s">
        <v>83</v>
      </c>
      <c r="B47" s="129">
        <f>_xlfn.COMPOUNDVALUE(389)</f>
        <v>1046</v>
      </c>
      <c r="C47" s="130">
        <v>9236144</v>
      </c>
      <c r="D47" s="129">
        <f>_xlfn.COMPOUNDVALUE(390)</f>
        <v>455</v>
      </c>
      <c r="E47" s="130">
        <v>217347</v>
      </c>
      <c r="F47" s="129">
        <f>_xlfn.COMPOUNDVALUE(391)</f>
        <v>1501</v>
      </c>
      <c r="G47" s="130">
        <v>9453491</v>
      </c>
      <c r="H47" s="129">
        <f>_xlfn.COMPOUNDVALUE(392)</f>
        <v>85</v>
      </c>
      <c r="I47" s="131">
        <v>524610</v>
      </c>
      <c r="J47" s="129">
        <v>67</v>
      </c>
      <c r="K47" s="131">
        <v>6258</v>
      </c>
      <c r="L47" s="129">
        <f>_xlfn.COMPOUNDVALUE(392)</f>
        <v>1594</v>
      </c>
      <c r="M47" s="131">
        <v>8935139</v>
      </c>
      <c r="N47" s="83" t="s">
        <v>83</v>
      </c>
    </row>
    <row r="48" spans="1:14" ht="15.75" customHeight="1">
      <c r="A48" s="82" t="s">
        <v>84</v>
      </c>
      <c r="B48" s="129">
        <f>_xlfn.COMPOUNDVALUE(393)</f>
        <v>1690</v>
      </c>
      <c r="C48" s="130">
        <v>9398204</v>
      </c>
      <c r="D48" s="129">
        <f>_xlfn.COMPOUNDVALUE(394)</f>
        <v>888</v>
      </c>
      <c r="E48" s="130">
        <v>409125</v>
      </c>
      <c r="F48" s="129">
        <f>_xlfn.COMPOUNDVALUE(395)</f>
        <v>2578</v>
      </c>
      <c r="G48" s="130">
        <v>9807329</v>
      </c>
      <c r="H48" s="129">
        <f>_xlfn.COMPOUNDVALUE(396)</f>
        <v>148</v>
      </c>
      <c r="I48" s="131">
        <v>1011833</v>
      </c>
      <c r="J48" s="129">
        <v>163</v>
      </c>
      <c r="K48" s="131">
        <v>18135</v>
      </c>
      <c r="L48" s="129">
        <f>_xlfn.COMPOUNDVALUE(396)</f>
        <v>2753</v>
      </c>
      <c r="M48" s="131">
        <v>8813630</v>
      </c>
      <c r="N48" s="83" t="s">
        <v>84</v>
      </c>
    </row>
    <row r="49" spans="1:14" ht="15.75" customHeight="1">
      <c r="A49" s="82" t="s">
        <v>85</v>
      </c>
      <c r="B49" s="129">
        <f>_xlfn.COMPOUNDVALUE(397)</f>
        <v>5218</v>
      </c>
      <c r="C49" s="130">
        <v>20711405</v>
      </c>
      <c r="D49" s="129">
        <f>_xlfn.COMPOUNDVALUE(398)</f>
        <v>2581</v>
      </c>
      <c r="E49" s="130">
        <v>1249059</v>
      </c>
      <c r="F49" s="129">
        <f>_xlfn.COMPOUNDVALUE(399)</f>
        <v>7799</v>
      </c>
      <c r="G49" s="130">
        <v>21960465</v>
      </c>
      <c r="H49" s="129">
        <f>_xlfn.COMPOUNDVALUE(400)</f>
        <v>516</v>
      </c>
      <c r="I49" s="131">
        <v>3546509</v>
      </c>
      <c r="J49" s="129">
        <v>420</v>
      </c>
      <c r="K49" s="131">
        <v>51563</v>
      </c>
      <c r="L49" s="129">
        <f>_xlfn.COMPOUNDVALUE(400)</f>
        <v>8372</v>
      </c>
      <c r="M49" s="131">
        <v>18465519</v>
      </c>
      <c r="N49" s="83" t="s">
        <v>85</v>
      </c>
    </row>
    <row r="50" spans="1:14" ht="15.75" customHeight="1">
      <c r="A50" s="82" t="s">
        <v>86</v>
      </c>
      <c r="B50" s="129">
        <f>_xlfn.COMPOUNDVALUE(401)</f>
        <v>3366</v>
      </c>
      <c r="C50" s="130">
        <v>18662718</v>
      </c>
      <c r="D50" s="129">
        <f>_xlfn.COMPOUNDVALUE(402)</f>
        <v>1924</v>
      </c>
      <c r="E50" s="130">
        <v>921221</v>
      </c>
      <c r="F50" s="129">
        <f>_xlfn.COMPOUNDVALUE(403)</f>
        <v>5290</v>
      </c>
      <c r="G50" s="130">
        <v>19583938</v>
      </c>
      <c r="H50" s="129">
        <f>_xlfn.COMPOUNDVALUE(404)</f>
        <v>234</v>
      </c>
      <c r="I50" s="131">
        <v>804048</v>
      </c>
      <c r="J50" s="129">
        <v>401</v>
      </c>
      <c r="K50" s="131">
        <v>25343</v>
      </c>
      <c r="L50" s="129">
        <f>_xlfn.COMPOUNDVALUE(404)</f>
        <v>5556</v>
      </c>
      <c r="M50" s="131">
        <v>18805233</v>
      </c>
      <c r="N50" s="83" t="s">
        <v>86</v>
      </c>
    </row>
    <row r="51" spans="1:14" ht="15.75" customHeight="1">
      <c r="A51" s="82" t="s">
        <v>87</v>
      </c>
      <c r="B51" s="129">
        <f>_xlfn.COMPOUNDVALUE(405)</f>
        <v>6254</v>
      </c>
      <c r="C51" s="130">
        <v>26060624</v>
      </c>
      <c r="D51" s="129">
        <f>_xlfn.COMPOUNDVALUE(406)</f>
        <v>3017</v>
      </c>
      <c r="E51" s="130">
        <v>1423346</v>
      </c>
      <c r="F51" s="129">
        <f>_xlfn.COMPOUNDVALUE(407)</f>
        <v>9271</v>
      </c>
      <c r="G51" s="130">
        <v>27483971</v>
      </c>
      <c r="H51" s="129">
        <f>_xlfn.COMPOUNDVALUE(408)</f>
        <v>465</v>
      </c>
      <c r="I51" s="131">
        <v>2197432</v>
      </c>
      <c r="J51" s="129">
        <v>564</v>
      </c>
      <c r="K51" s="131">
        <v>66544</v>
      </c>
      <c r="L51" s="129">
        <f>_xlfn.COMPOUNDVALUE(408)</f>
        <v>9795</v>
      </c>
      <c r="M51" s="131">
        <v>25353083</v>
      </c>
      <c r="N51" s="83" t="s">
        <v>87</v>
      </c>
    </row>
    <row r="52" spans="1:14" ht="15.75" customHeight="1">
      <c r="A52" s="82" t="s">
        <v>88</v>
      </c>
      <c r="B52" s="129">
        <f>_xlfn.COMPOUNDVALUE(409)</f>
        <v>3504</v>
      </c>
      <c r="C52" s="130">
        <v>33313910</v>
      </c>
      <c r="D52" s="129">
        <f>_xlfn.COMPOUNDVALUE(410)</f>
        <v>1946</v>
      </c>
      <c r="E52" s="130">
        <v>912257</v>
      </c>
      <c r="F52" s="129">
        <f>_xlfn.COMPOUNDVALUE(411)</f>
        <v>5450</v>
      </c>
      <c r="G52" s="130">
        <v>34226168</v>
      </c>
      <c r="H52" s="129">
        <f>_xlfn.COMPOUNDVALUE(412)</f>
        <v>275</v>
      </c>
      <c r="I52" s="131">
        <v>2847117</v>
      </c>
      <c r="J52" s="129">
        <v>418</v>
      </c>
      <c r="K52" s="131">
        <v>-32246</v>
      </c>
      <c r="L52" s="129">
        <f>_xlfn.COMPOUNDVALUE(412)</f>
        <v>5750</v>
      </c>
      <c r="M52" s="131">
        <v>31346806</v>
      </c>
      <c r="N52" s="83" t="s">
        <v>88</v>
      </c>
    </row>
    <row r="53" spans="1:14" ht="15.75" customHeight="1">
      <c r="A53" s="84" t="s">
        <v>154</v>
      </c>
      <c r="B53" s="132">
        <v>58442</v>
      </c>
      <c r="C53" s="133">
        <v>328957529</v>
      </c>
      <c r="D53" s="132">
        <v>29777</v>
      </c>
      <c r="E53" s="133">
        <v>14468373</v>
      </c>
      <c r="F53" s="132">
        <v>88219</v>
      </c>
      <c r="G53" s="133">
        <v>343425902</v>
      </c>
      <c r="H53" s="132">
        <v>4539</v>
      </c>
      <c r="I53" s="134">
        <v>26734988</v>
      </c>
      <c r="J53" s="132">
        <v>5712</v>
      </c>
      <c r="K53" s="134">
        <v>571195</v>
      </c>
      <c r="L53" s="132">
        <v>93456</v>
      </c>
      <c r="M53" s="134">
        <v>317262110</v>
      </c>
      <c r="N53" s="85" t="s">
        <v>90</v>
      </c>
    </row>
    <row r="54" spans="1:14" ht="15.75" customHeight="1">
      <c r="A54" s="86"/>
      <c r="B54" s="135"/>
      <c r="C54" s="136"/>
      <c r="D54" s="135"/>
      <c r="E54" s="136"/>
      <c r="F54" s="137"/>
      <c r="G54" s="136"/>
      <c r="H54" s="137"/>
      <c r="I54" s="136"/>
      <c r="J54" s="137"/>
      <c r="K54" s="136"/>
      <c r="L54" s="137"/>
      <c r="M54" s="136"/>
      <c r="N54" s="87"/>
    </row>
    <row r="55" spans="1:14" ht="15.75" customHeight="1">
      <c r="A55" s="79" t="s">
        <v>91</v>
      </c>
      <c r="B55" s="126">
        <f>_xlfn.COMPOUNDVALUE(413)</f>
        <v>6423</v>
      </c>
      <c r="C55" s="127">
        <v>56854713</v>
      </c>
      <c r="D55" s="126">
        <f>_xlfn.COMPOUNDVALUE(414)</f>
        <v>2473</v>
      </c>
      <c r="E55" s="127">
        <v>1238326</v>
      </c>
      <c r="F55" s="126">
        <f>_xlfn.COMPOUNDVALUE(415)</f>
        <v>8896</v>
      </c>
      <c r="G55" s="127">
        <v>58093039</v>
      </c>
      <c r="H55" s="126">
        <f>_xlfn.COMPOUNDVALUE(416)</f>
        <v>444</v>
      </c>
      <c r="I55" s="128">
        <v>2171352</v>
      </c>
      <c r="J55" s="126">
        <v>591</v>
      </c>
      <c r="K55" s="128">
        <v>70380</v>
      </c>
      <c r="L55" s="126">
        <f>_xlfn.COMPOUNDVALUE(416)</f>
        <v>9423</v>
      </c>
      <c r="M55" s="128">
        <v>55992067</v>
      </c>
      <c r="N55" s="88" t="s">
        <v>91</v>
      </c>
    </row>
    <row r="56" spans="1:14" ht="15.75" customHeight="1">
      <c r="A56" s="79" t="s">
        <v>92</v>
      </c>
      <c r="B56" s="126">
        <f>_xlfn.COMPOUNDVALUE(417)</f>
        <v>971</v>
      </c>
      <c r="C56" s="127">
        <v>3639231</v>
      </c>
      <c r="D56" s="126">
        <f>_xlfn.COMPOUNDVALUE(418)</f>
        <v>418</v>
      </c>
      <c r="E56" s="127">
        <v>197973</v>
      </c>
      <c r="F56" s="126">
        <f>_xlfn.COMPOUNDVALUE(419)</f>
        <v>1389</v>
      </c>
      <c r="G56" s="127">
        <v>3837204</v>
      </c>
      <c r="H56" s="126">
        <f>_xlfn.COMPOUNDVALUE(420)</f>
        <v>39</v>
      </c>
      <c r="I56" s="128">
        <v>109820</v>
      </c>
      <c r="J56" s="126">
        <v>88</v>
      </c>
      <c r="K56" s="128">
        <v>36925</v>
      </c>
      <c r="L56" s="126">
        <f>_xlfn.COMPOUNDVALUE(420)</f>
        <v>1437</v>
      </c>
      <c r="M56" s="128">
        <v>3764309</v>
      </c>
      <c r="N56" s="80" t="s">
        <v>92</v>
      </c>
    </row>
    <row r="57" spans="1:14" ht="15.75" customHeight="1">
      <c r="A57" s="79" t="s">
        <v>93</v>
      </c>
      <c r="B57" s="126">
        <f>_xlfn.COMPOUNDVALUE(421)</f>
        <v>1760</v>
      </c>
      <c r="C57" s="127">
        <v>8626354</v>
      </c>
      <c r="D57" s="126">
        <f>_xlfn.COMPOUNDVALUE(422)</f>
        <v>669</v>
      </c>
      <c r="E57" s="127">
        <v>322337</v>
      </c>
      <c r="F57" s="126">
        <f>_xlfn.COMPOUNDVALUE(423)</f>
        <v>2429</v>
      </c>
      <c r="G57" s="127">
        <v>8948691</v>
      </c>
      <c r="H57" s="126">
        <f>_xlfn.COMPOUNDVALUE(424)</f>
        <v>104</v>
      </c>
      <c r="I57" s="128">
        <v>725487</v>
      </c>
      <c r="J57" s="126">
        <v>114</v>
      </c>
      <c r="K57" s="128">
        <v>12575</v>
      </c>
      <c r="L57" s="126">
        <f>_xlfn.COMPOUNDVALUE(424)</f>
        <v>2544</v>
      </c>
      <c r="M57" s="128">
        <v>8235779</v>
      </c>
      <c r="N57" s="80" t="s">
        <v>93</v>
      </c>
    </row>
    <row r="58" spans="1:14" ht="15.75" customHeight="1">
      <c r="A58" s="79" t="s">
        <v>94</v>
      </c>
      <c r="B58" s="126">
        <f>_xlfn.COMPOUNDVALUE(425)</f>
        <v>2981</v>
      </c>
      <c r="C58" s="127">
        <v>19040741</v>
      </c>
      <c r="D58" s="126">
        <f>_xlfn.COMPOUNDVALUE(426)</f>
        <v>1372</v>
      </c>
      <c r="E58" s="127">
        <v>643883</v>
      </c>
      <c r="F58" s="126">
        <f>_xlfn.COMPOUNDVALUE(427)</f>
        <v>4353</v>
      </c>
      <c r="G58" s="127">
        <v>19684625</v>
      </c>
      <c r="H58" s="126">
        <f>_xlfn.COMPOUNDVALUE(428)</f>
        <v>129</v>
      </c>
      <c r="I58" s="128">
        <v>2430519</v>
      </c>
      <c r="J58" s="126">
        <v>245</v>
      </c>
      <c r="K58" s="128">
        <v>18661</v>
      </c>
      <c r="L58" s="126">
        <f>_xlfn.COMPOUNDVALUE(428)</f>
        <v>4494</v>
      </c>
      <c r="M58" s="128">
        <v>17272767</v>
      </c>
      <c r="N58" s="80" t="s">
        <v>94</v>
      </c>
    </row>
    <row r="59" spans="1:14" ht="15.75" customHeight="1">
      <c r="A59" s="79" t="s">
        <v>95</v>
      </c>
      <c r="B59" s="126">
        <f>_xlfn.COMPOUNDVALUE(429)</f>
        <v>2106</v>
      </c>
      <c r="C59" s="127">
        <v>13738175</v>
      </c>
      <c r="D59" s="126">
        <f>_xlfn.COMPOUNDVALUE(430)</f>
        <v>823</v>
      </c>
      <c r="E59" s="127">
        <v>369206</v>
      </c>
      <c r="F59" s="126">
        <f>_xlfn.COMPOUNDVALUE(431)</f>
        <v>2929</v>
      </c>
      <c r="G59" s="127">
        <v>14107380</v>
      </c>
      <c r="H59" s="126">
        <f>_xlfn.COMPOUNDVALUE(432)</f>
        <v>99</v>
      </c>
      <c r="I59" s="128">
        <v>1502559</v>
      </c>
      <c r="J59" s="126">
        <v>174</v>
      </c>
      <c r="K59" s="128">
        <v>24231</v>
      </c>
      <c r="L59" s="126">
        <f>_xlfn.COMPOUNDVALUE(432)</f>
        <v>3041</v>
      </c>
      <c r="M59" s="128">
        <v>12629053</v>
      </c>
      <c r="N59" s="80" t="s">
        <v>95</v>
      </c>
    </row>
    <row r="60" spans="1:14" ht="15.75" customHeight="1">
      <c r="A60" s="79" t="s">
        <v>96</v>
      </c>
      <c r="B60" s="126">
        <f>_xlfn.COMPOUNDVALUE(433)</f>
        <v>828</v>
      </c>
      <c r="C60" s="127">
        <v>5376848</v>
      </c>
      <c r="D60" s="126">
        <f>_xlfn.COMPOUNDVALUE(434)</f>
        <v>353</v>
      </c>
      <c r="E60" s="127">
        <v>163508</v>
      </c>
      <c r="F60" s="126">
        <f>_xlfn.COMPOUNDVALUE(435)</f>
        <v>1181</v>
      </c>
      <c r="G60" s="127">
        <v>5540356</v>
      </c>
      <c r="H60" s="126">
        <f>_xlfn.COMPOUNDVALUE(436)</f>
        <v>40</v>
      </c>
      <c r="I60" s="128">
        <v>423620</v>
      </c>
      <c r="J60" s="126">
        <v>109</v>
      </c>
      <c r="K60" s="128">
        <v>19860</v>
      </c>
      <c r="L60" s="126">
        <f>_xlfn.COMPOUNDVALUE(436)</f>
        <v>1231</v>
      </c>
      <c r="M60" s="128">
        <v>5136596</v>
      </c>
      <c r="N60" s="80" t="s">
        <v>96</v>
      </c>
    </row>
    <row r="61" spans="1:14" ht="15.75" customHeight="1">
      <c r="A61" s="82" t="s">
        <v>97</v>
      </c>
      <c r="B61" s="129">
        <f>_xlfn.COMPOUNDVALUE(437)</f>
        <v>1412</v>
      </c>
      <c r="C61" s="130">
        <v>7926429</v>
      </c>
      <c r="D61" s="129">
        <f>_xlfn.COMPOUNDVALUE(438)</f>
        <v>585</v>
      </c>
      <c r="E61" s="130">
        <v>297009</v>
      </c>
      <c r="F61" s="129">
        <f>_xlfn.COMPOUNDVALUE(439)</f>
        <v>1997</v>
      </c>
      <c r="G61" s="130">
        <v>8223438</v>
      </c>
      <c r="H61" s="129">
        <f>_xlfn.COMPOUNDVALUE(440)</f>
        <v>127</v>
      </c>
      <c r="I61" s="131">
        <v>869577</v>
      </c>
      <c r="J61" s="129">
        <v>157</v>
      </c>
      <c r="K61" s="131">
        <v>5079</v>
      </c>
      <c r="L61" s="129">
        <f>_xlfn.COMPOUNDVALUE(440)</f>
        <v>2132</v>
      </c>
      <c r="M61" s="131">
        <v>7358940</v>
      </c>
      <c r="N61" s="83" t="s">
        <v>97</v>
      </c>
    </row>
    <row r="62" spans="1:14" ht="15.75" customHeight="1">
      <c r="A62" s="82" t="s">
        <v>98</v>
      </c>
      <c r="B62" s="129">
        <f>_xlfn.COMPOUNDVALUE(441)</f>
        <v>1669</v>
      </c>
      <c r="C62" s="130">
        <v>7350432</v>
      </c>
      <c r="D62" s="129">
        <f>_xlfn.COMPOUNDVALUE(442)</f>
        <v>678</v>
      </c>
      <c r="E62" s="130">
        <v>310021</v>
      </c>
      <c r="F62" s="129">
        <f>_xlfn.COMPOUNDVALUE(443)</f>
        <v>2347</v>
      </c>
      <c r="G62" s="130">
        <v>7660453</v>
      </c>
      <c r="H62" s="129">
        <f>_xlfn.COMPOUNDVALUE(444)</f>
        <v>69</v>
      </c>
      <c r="I62" s="131">
        <v>894350</v>
      </c>
      <c r="J62" s="129">
        <v>114</v>
      </c>
      <c r="K62" s="131">
        <v>25231</v>
      </c>
      <c r="L62" s="129">
        <f>_xlfn.COMPOUNDVALUE(444)</f>
        <v>2437</v>
      </c>
      <c r="M62" s="131">
        <v>6791334</v>
      </c>
      <c r="N62" s="83" t="s">
        <v>98</v>
      </c>
    </row>
    <row r="63" spans="1:14" ht="15.75" customHeight="1">
      <c r="A63" s="82" t="s">
        <v>99</v>
      </c>
      <c r="B63" s="129">
        <f>_xlfn.COMPOUNDVALUE(445)</f>
        <v>713</v>
      </c>
      <c r="C63" s="130">
        <v>2937430</v>
      </c>
      <c r="D63" s="129">
        <f>_xlfn.COMPOUNDVALUE(446)</f>
        <v>292</v>
      </c>
      <c r="E63" s="130">
        <v>137473</v>
      </c>
      <c r="F63" s="129">
        <f>_xlfn.COMPOUNDVALUE(447)</f>
        <v>1005</v>
      </c>
      <c r="G63" s="130">
        <v>3074903</v>
      </c>
      <c r="H63" s="129">
        <f>_xlfn.COMPOUNDVALUE(448)</f>
        <v>33</v>
      </c>
      <c r="I63" s="131">
        <v>159925</v>
      </c>
      <c r="J63" s="129">
        <v>109</v>
      </c>
      <c r="K63" s="131">
        <v>7091</v>
      </c>
      <c r="L63" s="129">
        <f>_xlfn.COMPOUNDVALUE(448)</f>
        <v>1043</v>
      </c>
      <c r="M63" s="131">
        <v>2922068</v>
      </c>
      <c r="N63" s="83" t="s">
        <v>99</v>
      </c>
    </row>
    <row r="64" spans="1:14" ht="15.75" customHeight="1">
      <c r="A64" s="82" t="s">
        <v>100</v>
      </c>
      <c r="B64" s="129">
        <f>_xlfn.COMPOUNDVALUE(449)</f>
        <v>581</v>
      </c>
      <c r="C64" s="130">
        <v>2254055</v>
      </c>
      <c r="D64" s="129">
        <f>_xlfn.COMPOUNDVALUE(450)</f>
        <v>235</v>
      </c>
      <c r="E64" s="130">
        <v>118302</v>
      </c>
      <c r="F64" s="129">
        <f>_xlfn.COMPOUNDVALUE(451)</f>
        <v>816</v>
      </c>
      <c r="G64" s="130">
        <v>2372357</v>
      </c>
      <c r="H64" s="129">
        <f>_xlfn.COMPOUNDVALUE(452)</f>
        <v>35</v>
      </c>
      <c r="I64" s="131">
        <v>65865</v>
      </c>
      <c r="J64" s="129">
        <v>60</v>
      </c>
      <c r="K64" s="131">
        <v>2349</v>
      </c>
      <c r="L64" s="129">
        <f>_xlfn.COMPOUNDVALUE(452)</f>
        <v>855</v>
      </c>
      <c r="M64" s="131">
        <v>2308841</v>
      </c>
      <c r="N64" s="83" t="s">
        <v>100</v>
      </c>
    </row>
    <row r="65" spans="1:14" ht="15.75" customHeight="1">
      <c r="A65" s="82" t="s">
        <v>101</v>
      </c>
      <c r="B65" s="129">
        <f>_xlfn.COMPOUNDVALUE(453)</f>
        <v>386</v>
      </c>
      <c r="C65" s="130">
        <v>2194151</v>
      </c>
      <c r="D65" s="129">
        <f>_xlfn.COMPOUNDVALUE(454)</f>
        <v>161</v>
      </c>
      <c r="E65" s="130">
        <v>74235</v>
      </c>
      <c r="F65" s="129">
        <f>_xlfn.COMPOUNDVALUE(455)</f>
        <v>547</v>
      </c>
      <c r="G65" s="130">
        <v>2268387</v>
      </c>
      <c r="H65" s="129">
        <f>_xlfn.COMPOUNDVALUE(456)</f>
        <v>26</v>
      </c>
      <c r="I65" s="131">
        <v>74554</v>
      </c>
      <c r="J65" s="129">
        <v>28</v>
      </c>
      <c r="K65" s="131">
        <v>2101</v>
      </c>
      <c r="L65" s="129">
        <f>_xlfn.COMPOUNDVALUE(456)</f>
        <v>573</v>
      </c>
      <c r="M65" s="131">
        <v>2195934</v>
      </c>
      <c r="N65" s="83" t="s">
        <v>101</v>
      </c>
    </row>
    <row r="66" spans="1:14" ht="15.75" customHeight="1">
      <c r="A66" s="82" t="s">
        <v>102</v>
      </c>
      <c r="B66" s="129">
        <f>_xlfn.COMPOUNDVALUE(457)</f>
        <v>2041</v>
      </c>
      <c r="C66" s="130">
        <v>10952645</v>
      </c>
      <c r="D66" s="129">
        <f>_xlfn.COMPOUNDVALUE(458)</f>
        <v>989</v>
      </c>
      <c r="E66" s="130">
        <v>465557</v>
      </c>
      <c r="F66" s="129">
        <f>_xlfn.COMPOUNDVALUE(459)</f>
        <v>3030</v>
      </c>
      <c r="G66" s="130">
        <v>11418202</v>
      </c>
      <c r="H66" s="129">
        <f>_xlfn.COMPOUNDVALUE(460)</f>
        <v>120</v>
      </c>
      <c r="I66" s="131">
        <v>1852447</v>
      </c>
      <c r="J66" s="129">
        <v>195</v>
      </c>
      <c r="K66" s="131">
        <v>42169</v>
      </c>
      <c r="L66" s="129">
        <f>_xlfn.COMPOUNDVALUE(460)</f>
        <v>3169</v>
      </c>
      <c r="M66" s="131">
        <v>9607924</v>
      </c>
      <c r="N66" s="83" t="s">
        <v>102</v>
      </c>
    </row>
    <row r="67" spans="1:14" ht="15.75" customHeight="1">
      <c r="A67" s="82" t="s">
        <v>155</v>
      </c>
      <c r="B67" s="129">
        <f>_xlfn.COMPOUNDVALUE(461)</f>
        <v>530</v>
      </c>
      <c r="C67" s="130">
        <v>1817693</v>
      </c>
      <c r="D67" s="129">
        <f>_xlfn.COMPOUNDVALUE(462)</f>
        <v>200</v>
      </c>
      <c r="E67" s="130">
        <v>91075</v>
      </c>
      <c r="F67" s="129">
        <f>_xlfn.COMPOUNDVALUE(463)</f>
        <v>730</v>
      </c>
      <c r="G67" s="130">
        <v>1908768</v>
      </c>
      <c r="H67" s="129">
        <f>_xlfn.COMPOUNDVALUE(464)</f>
        <v>19</v>
      </c>
      <c r="I67" s="131">
        <v>25424</v>
      </c>
      <c r="J67" s="129">
        <v>56</v>
      </c>
      <c r="K67" s="131">
        <v>2250</v>
      </c>
      <c r="L67" s="129">
        <f>_xlfn.COMPOUNDVALUE(464)</f>
        <v>750</v>
      </c>
      <c r="M67" s="131">
        <v>1885594</v>
      </c>
      <c r="N67" s="83" t="s">
        <v>104</v>
      </c>
    </row>
    <row r="68" spans="1:14" ht="15.75" customHeight="1">
      <c r="A68" s="84" t="s">
        <v>156</v>
      </c>
      <c r="B68" s="132">
        <v>22401</v>
      </c>
      <c r="C68" s="133">
        <v>142708896</v>
      </c>
      <c r="D68" s="132">
        <v>9248</v>
      </c>
      <c r="E68" s="133">
        <v>4428905</v>
      </c>
      <c r="F68" s="132">
        <v>31649</v>
      </c>
      <c r="G68" s="133">
        <v>147137801</v>
      </c>
      <c r="H68" s="132">
        <v>1284</v>
      </c>
      <c r="I68" s="134">
        <v>11305500</v>
      </c>
      <c r="J68" s="132">
        <v>2040</v>
      </c>
      <c r="K68" s="134">
        <v>268901</v>
      </c>
      <c r="L68" s="132">
        <v>33129</v>
      </c>
      <c r="M68" s="134">
        <v>136101202</v>
      </c>
      <c r="N68" s="85" t="s">
        <v>106</v>
      </c>
    </row>
    <row r="69" spans="1:14" ht="15.75" customHeight="1">
      <c r="A69" s="86"/>
      <c r="B69" s="135"/>
      <c r="C69" s="136"/>
      <c r="D69" s="135"/>
      <c r="E69" s="136"/>
      <c r="F69" s="137"/>
      <c r="G69" s="136"/>
      <c r="H69" s="137"/>
      <c r="I69" s="136"/>
      <c r="J69" s="137"/>
      <c r="K69" s="136"/>
      <c r="L69" s="137"/>
      <c r="M69" s="136"/>
      <c r="N69" s="87"/>
    </row>
    <row r="70" spans="1:14" ht="15.75" customHeight="1">
      <c r="A70" s="79" t="s">
        <v>107</v>
      </c>
      <c r="B70" s="126">
        <f>_xlfn.COMPOUNDVALUE(465)</f>
        <v>4714</v>
      </c>
      <c r="C70" s="127">
        <v>34349230</v>
      </c>
      <c r="D70" s="126">
        <f>_xlfn.COMPOUNDVALUE(466)</f>
        <v>2211</v>
      </c>
      <c r="E70" s="127">
        <v>1030059</v>
      </c>
      <c r="F70" s="126">
        <f>_xlfn.COMPOUNDVALUE(467)</f>
        <v>6925</v>
      </c>
      <c r="G70" s="127">
        <v>35379289</v>
      </c>
      <c r="H70" s="126">
        <f>_xlfn.COMPOUNDVALUE(468)</f>
        <v>263</v>
      </c>
      <c r="I70" s="128">
        <v>8633104</v>
      </c>
      <c r="J70" s="126">
        <v>447</v>
      </c>
      <c r="K70" s="128">
        <v>90115</v>
      </c>
      <c r="L70" s="126">
        <f>_xlfn.COMPOUNDVALUE(468)</f>
        <v>7253</v>
      </c>
      <c r="M70" s="128">
        <v>26836300</v>
      </c>
      <c r="N70" s="88" t="s">
        <v>107</v>
      </c>
    </row>
    <row r="71" spans="1:14" ht="15.75" customHeight="1">
      <c r="A71" s="79" t="s">
        <v>108</v>
      </c>
      <c r="B71" s="126">
        <f>_xlfn.COMPOUNDVALUE(469)</f>
        <v>3903</v>
      </c>
      <c r="C71" s="127">
        <v>22899147</v>
      </c>
      <c r="D71" s="126">
        <f>_xlfn.COMPOUNDVALUE(470)</f>
        <v>1767</v>
      </c>
      <c r="E71" s="127">
        <v>844282</v>
      </c>
      <c r="F71" s="126">
        <f>_xlfn.COMPOUNDVALUE(471)</f>
        <v>5670</v>
      </c>
      <c r="G71" s="127">
        <v>23743429</v>
      </c>
      <c r="H71" s="126">
        <f>_xlfn.COMPOUNDVALUE(472)</f>
        <v>248</v>
      </c>
      <c r="I71" s="128">
        <v>1314137</v>
      </c>
      <c r="J71" s="126">
        <v>422</v>
      </c>
      <c r="K71" s="128">
        <v>181336</v>
      </c>
      <c r="L71" s="126">
        <f>_xlfn.COMPOUNDVALUE(472)</f>
        <v>5966</v>
      </c>
      <c r="M71" s="128">
        <v>22610629</v>
      </c>
      <c r="N71" s="80" t="s">
        <v>108</v>
      </c>
    </row>
    <row r="72" spans="1:14" ht="15.75" customHeight="1">
      <c r="A72" s="79" t="s">
        <v>109</v>
      </c>
      <c r="B72" s="126">
        <f>_xlfn.COMPOUNDVALUE(473)</f>
        <v>2507</v>
      </c>
      <c r="C72" s="127">
        <v>14933918</v>
      </c>
      <c r="D72" s="126">
        <f>_xlfn.COMPOUNDVALUE(474)</f>
        <v>1228</v>
      </c>
      <c r="E72" s="127">
        <v>564197</v>
      </c>
      <c r="F72" s="126">
        <f>_xlfn.COMPOUNDVALUE(475)</f>
        <v>3735</v>
      </c>
      <c r="G72" s="127">
        <v>15498114</v>
      </c>
      <c r="H72" s="126">
        <f>_xlfn.COMPOUNDVALUE(476)</f>
        <v>173</v>
      </c>
      <c r="I72" s="128">
        <v>7491930</v>
      </c>
      <c r="J72" s="126">
        <v>250</v>
      </c>
      <c r="K72" s="128">
        <v>19484</v>
      </c>
      <c r="L72" s="126">
        <f>_xlfn.COMPOUNDVALUE(476)</f>
        <v>3950</v>
      </c>
      <c r="M72" s="128">
        <v>8025668</v>
      </c>
      <c r="N72" s="80" t="s">
        <v>109</v>
      </c>
    </row>
    <row r="73" spans="1:14" ht="15.75" customHeight="1">
      <c r="A73" s="82" t="s">
        <v>110</v>
      </c>
      <c r="B73" s="129">
        <f>_xlfn.COMPOUNDVALUE(477)</f>
        <v>1694</v>
      </c>
      <c r="C73" s="130">
        <v>8098065</v>
      </c>
      <c r="D73" s="129">
        <f>_xlfn.COMPOUNDVALUE(478)</f>
        <v>799</v>
      </c>
      <c r="E73" s="130">
        <v>394142</v>
      </c>
      <c r="F73" s="129">
        <f>_xlfn.COMPOUNDVALUE(479)</f>
        <v>2493</v>
      </c>
      <c r="G73" s="130">
        <v>8492207</v>
      </c>
      <c r="H73" s="129">
        <f>_xlfn.COMPOUNDVALUE(480)</f>
        <v>81</v>
      </c>
      <c r="I73" s="131">
        <v>643782</v>
      </c>
      <c r="J73" s="129">
        <v>157</v>
      </c>
      <c r="K73" s="131">
        <v>15556</v>
      </c>
      <c r="L73" s="129">
        <f>_xlfn.COMPOUNDVALUE(480)</f>
        <v>2587</v>
      </c>
      <c r="M73" s="131">
        <v>7863981</v>
      </c>
      <c r="N73" s="83" t="s">
        <v>110</v>
      </c>
    </row>
    <row r="74" spans="1:14" ht="15.75" customHeight="1">
      <c r="A74" s="82" t="s">
        <v>111</v>
      </c>
      <c r="B74" s="129">
        <f>_xlfn.COMPOUNDVALUE(481)</f>
        <v>2330</v>
      </c>
      <c r="C74" s="130">
        <v>13000438</v>
      </c>
      <c r="D74" s="129">
        <f>_xlfn.COMPOUNDVALUE(482)</f>
        <v>1134</v>
      </c>
      <c r="E74" s="130">
        <v>518198</v>
      </c>
      <c r="F74" s="129">
        <f>_xlfn.COMPOUNDVALUE(483)</f>
        <v>3464</v>
      </c>
      <c r="G74" s="130">
        <v>13518636</v>
      </c>
      <c r="H74" s="129">
        <f>_xlfn.COMPOUNDVALUE(484)</f>
        <v>186</v>
      </c>
      <c r="I74" s="131">
        <v>3710185</v>
      </c>
      <c r="J74" s="129">
        <v>236</v>
      </c>
      <c r="K74" s="131">
        <v>18220</v>
      </c>
      <c r="L74" s="129">
        <f>_xlfn.COMPOUNDVALUE(484)</f>
        <v>3673</v>
      </c>
      <c r="M74" s="131">
        <v>9826672</v>
      </c>
      <c r="N74" s="83" t="s">
        <v>111</v>
      </c>
    </row>
    <row r="75" spans="1:14" ht="15.75" customHeight="1">
      <c r="A75" s="82" t="s">
        <v>112</v>
      </c>
      <c r="B75" s="129">
        <f>_xlfn.COMPOUNDVALUE(485)</f>
        <v>1754</v>
      </c>
      <c r="C75" s="130">
        <v>9586151</v>
      </c>
      <c r="D75" s="129">
        <f>_xlfn.COMPOUNDVALUE(486)</f>
        <v>869</v>
      </c>
      <c r="E75" s="130">
        <v>391177</v>
      </c>
      <c r="F75" s="129">
        <f>_xlfn.COMPOUNDVALUE(487)</f>
        <v>2623</v>
      </c>
      <c r="G75" s="130">
        <v>9977328</v>
      </c>
      <c r="H75" s="129">
        <f>_xlfn.COMPOUNDVALUE(488)</f>
        <v>133</v>
      </c>
      <c r="I75" s="131">
        <v>1644151</v>
      </c>
      <c r="J75" s="129">
        <v>156</v>
      </c>
      <c r="K75" s="131">
        <v>19313</v>
      </c>
      <c r="L75" s="129">
        <f>_xlfn.COMPOUNDVALUE(488)</f>
        <v>2780</v>
      </c>
      <c r="M75" s="131">
        <v>8352491</v>
      </c>
      <c r="N75" s="83" t="s">
        <v>112</v>
      </c>
    </row>
    <row r="76" spans="1:14" ht="15.75" customHeight="1">
      <c r="A76" s="82" t="s">
        <v>113</v>
      </c>
      <c r="B76" s="129">
        <f>_xlfn.COMPOUNDVALUE(489)</f>
        <v>1059</v>
      </c>
      <c r="C76" s="130">
        <v>3323373</v>
      </c>
      <c r="D76" s="129">
        <f>_xlfn.COMPOUNDVALUE(490)</f>
        <v>523</v>
      </c>
      <c r="E76" s="130">
        <v>222695</v>
      </c>
      <c r="F76" s="129">
        <f>_xlfn.COMPOUNDVALUE(491)</f>
        <v>1582</v>
      </c>
      <c r="G76" s="130">
        <v>3546067</v>
      </c>
      <c r="H76" s="129">
        <f>_xlfn.COMPOUNDVALUE(492)</f>
        <v>75</v>
      </c>
      <c r="I76" s="131">
        <v>316340</v>
      </c>
      <c r="J76" s="129">
        <v>87</v>
      </c>
      <c r="K76" s="131">
        <v>-6278</v>
      </c>
      <c r="L76" s="129">
        <f>_xlfn.COMPOUNDVALUE(492)</f>
        <v>1665</v>
      </c>
      <c r="M76" s="131">
        <v>3223449</v>
      </c>
      <c r="N76" s="83" t="s">
        <v>113</v>
      </c>
    </row>
    <row r="77" spans="1:14" ht="15.75" customHeight="1">
      <c r="A77" s="82" t="s">
        <v>114</v>
      </c>
      <c r="B77" s="129">
        <f>_xlfn.COMPOUNDVALUE(493)</f>
        <v>628</v>
      </c>
      <c r="C77" s="130">
        <v>2186188</v>
      </c>
      <c r="D77" s="129">
        <f>_xlfn.COMPOUNDVALUE(494)</f>
        <v>310</v>
      </c>
      <c r="E77" s="130">
        <v>130786</v>
      </c>
      <c r="F77" s="129">
        <f>_xlfn.COMPOUNDVALUE(495)</f>
        <v>938</v>
      </c>
      <c r="G77" s="130">
        <v>2316974</v>
      </c>
      <c r="H77" s="129">
        <f>_xlfn.COMPOUNDVALUE(496)</f>
        <v>35</v>
      </c>
      <c r="I77" s="131">
        <v>75623</v>
      </c>
      <c r="J77" s="129">
        <v>80</v>
      </c>
      <c r="K77" s="131">
        <v>4633</v>
      </c>
      <c r="L77" s="129">
        <f>_xlfn.COMPOUNDVALUE(496)</f>
        <v>979</v>
      </c>
      <c r="M77" s="131">
        <v>2245984</v>
      </c>
      <c r="N77" s="83" t="s">
        <v>114</v>
      </c>
    </row>
    <row r="78" spans="1:14" ht="15.75" customHeight="1">
      <c r="A78" s="82" t="s">
        <v>115</v>
      </c>
      <c r="B78" s="129">
        <f>_xlfn.COMPOUNDVALUE(497)</f>
        <v>1985</v>
      </c>
      <c r="C78" s="130">
        <v>9265787</v>
      </c>
      <c r="D78" s="129">
        <f>_xlfn.COMPOUNDVALUE(498)</f>
        <v>896</v>
      </c>
      <c r="E78" s="130">
        <v>432878</v>
      </c>
      <c r="F78" s="129">
        <f>_xlfn.COMPOUNDVALUE(499)</f>
        <v>2881</v>
      </c>
      <c r="G78" s="130">
        <v>9698666</v>
      </c>
      <c r="H78" s="129">
        <f>_xlfn.COMPOUNDVALUE(500)</f>
        <v>151</v>
      </c>
      <c r="I78" s="131">
        <v>4846744</v>
      </c>
      <c r="J78" s="129">
        <v>169</v>
      </c>
      <c r="K78" s="131">
        <v>-1737</v>
      </c>
      <c r="L78" s="129">
        <f>_xlfn.COMPOUNDVALUE(500)</f>
        <v>3055</v>
      </c>
      <c r="M78" s="131">
        <v>4850186</v>
      </c>
      <c r="N78" s="83" t="s">
        <v>115</v>
      </c>
    </row>
    <row r="79" spans="1:14" ht="15.75" customHeight="1">
      <c r="A79" s="82" t="s">
        <v>116</v>
      </c>
      <c r="B79" s="129">
        <f>_xlfn.COMPOUNDVALUE(501)</f>
        <v>318</v>
      </c>
      <c r="C79" s="130">
        <v>1259924</v>
      </c>
      <c r="D79" s="129">
        <f>_xlfn.COMPOUNDVALUE(502)</f>
        <v>147</v>
      </c>
      <c r="E79" s="130">
        <v>65930</v>
      </c>
      <c r="F79" s="129">
        <f>_xlfn.COMPOUNDVALUE(503)</f>
        <v>465</v>
      </c>
      <c r="G79" s="130">
        <v>1325854</v>
      </c>
      <c r="H79" s="129">
        <f>_xlfn.COMPOUNDVALUE(504)</f>
        <v>17</v>
      </c>
      <c r="I79" s="131">
        <v>15538</v>
      </c>
      <c r="J79" s="129">
        <v>39</v>
      </c>
      <c r="K79" s="131">
        <v>5195</v>
      </c>
      <c r="L79" s="129">
        <f>_xlfn.COMPOUNDVALUE(504)</f>
        <v>483</v>
      </c>
      <c r="M79" s="131">
        <v>1315511</v>
      </c>
      <c r="N79" s="83" t="s">
        <v>116</v>
      </c>
    </row>
    <row r="80" spans="1:14" ht="15.75" customHeight="1">
      <c r="A80" s="84" t="s">
        <v>157</v>
      </c>
      <c r="B80" s="132">
        <v>20892</v>
      </c>
      <c r="C80" s="133">
        <v>118902221</v>
      </c>
      <c r="D80" s="132">
        <v>9884</v>
      </c>
      <c r="E80" s="133">
        <v>4594343</v>
      </c>
      <c r="F80" s="132">
        <v>30776</v>
      </c>
      <c r="G80" s="133">
        <v>123496563</v>
      </c>
      <c r="H80" s="132">
        <v>1362</v>
      </c>
      <c r="I80" s="134">
        <v>28691536</v>
      </c>
      <c r="J80" s="132">
        <v>2043</v>
      </c>
      <c r="K80" s="134">
        <v>345837</v>
      </c>
      <c r="L80" s="132">
        <v>32391</v>
      </c>
      <c r="M80" s="134">
        <v>95150864</v>
      </c>
      <c r="N80" s="85" t="s">
        <v>118</v>
      </c>
    </row>
    <row r="81" spans="1:14" ht="15.75" customHeight="1" thickBot="1">
      <c r="A81" s="89"/>
      <c r="B81" s="138"/>
      <c r="C81" s="139"/>
      <c r="D81" s="138"/>
      <c r="E81" s="139"/>
      <c r="F81" s="140"/>
      <c r="G81" s="139"/>
      <c r="H81" s="140"/>
      <c r="I81" s="139"/>
      <c r="J81" s="140"/>
      <c r="K81" s="139"/>
      <c r="L81" s="140"/>
      <c r="M81" s="139"/>
      <c r="N81" s="90"/>
    </row>
    <row r="82" spans="1:14" ht="15.75" customHeight="1" thickBot="1" thickTop="1">
      <c r="A82" s="92" t="s">
        <v>158</v>
      </c>
      <c r="B82" s="141">
        <v>163888</v>
      </c>
      <c r="C82" s="142">
        <v>961370305</v>
      </c>
      <c r="D82" s="141">
        <v>78252</v>
      </c>
      <c r="E82" s="142">
        <v>37811178</v>
      </c>
      <c r="F82" s="141">
        <v>242140</v>
      </c>
      <c r="G82" s="142">
        <v>999181483</v>
      </c>
      <c r="H82" s="141">
        <v>11233</v>
      </c>
      <c r="I82" s="143">
        <v>103538286</v>
      </c>
      <c r="J82" s="141">
        <v>15857</v>
      </c>
      <c r="K82" s="143">
        <v>2054186</v>
      </c>
      <c r="L82" s="141">
        <v>255276</v>
      </c>
      <c r="M82" s="143">
        <v>897697383</v>
      </c>
      <c r="N82" s="93" t="s">
        <v>120</v>
      </c>
    </row>
    <row r="83" spans="1:14" ht="13.5">
      <c r="A83" s="197" t="s">
        <v>121</v>
      </c>
      <c r="B83" s="197"/>
      <c r="C83" s="197"/>
      <c r="D83" s="197"/>
      <c r="E83" s="197"/>
      <c r="F83" s="197"/>
      <c r="G83" s="197"/>
      <c r="H83" s="197"/>
      <c r="I83" s="197"/>
      <c r="J83" s="94"/>
      <c r="K83" s="94"/>
      <c r="L83" s="65"/>
      <c r="M83" s="65"/>
      <c r="N83" s="65"/>
    </row>
  </sheetData>
  <sheetProtection/>
  <mergeCells count="11">
    <mergeCell ref="A2:I2"/>
    <mergeCell ref="A3:A5"/>
    <mergeCell ref="B3:G3"/>
    <mergeCell ref="H3:I4"/>
    <mergeCell ref="J3:K4"/>
    <mergeCell ref="N3:N5"/>
    <mergeCell ref="B4:C4"/>
    <mergeCell ref="D4:E4"/>
    <mergeCell ref="F4:G4"/>
    <mergeCell ref="A83:I83"/>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83"/>
  <sheetViews>
    <sheetView zoomScaleSheetLayoutView="85" zoomScalePageLayoutView="0" workbookViewId="0" topLeftCell="A1">
      <selection activeCell="A1" sqref="A1"/>
    </sheetView>
  </sheetViews>
  <sheetFormatPr defaultColWidth="9.00390625" defaultRowHeight="13.5"/>
  <cols>
    <col min="1" max="1" width="10.375" style="66" customWidth="1"/>
    <col min="2" max="2" width="8.625" style="66" customWidth="1"/>
    <col min="3" max="3" width="10.625" style="66" customWidth="1"/>
    <col min="4" max="4" width="8.625" style="66" customWidth="1"/>
    <col min="5" max="5" width="10.625" style="66" customWidth="1"/>
    <col min="6" max="6" width="8.625" style="66" customWidth="1"/>
    <col min="7" max="7" width="13.125" style="66" customWidth="1"/>
    <col min="8" max="8" width="8.625" style="66" customWidth="1"/>
    <col min="9" max="9" width="10.625" style="66" customWidth="1"/>
    <col min="10" max="10" width="8.625" style="66" customWidth="1"/>
    <col min="11" max="11" width="10.625" style="66" customWidth="1"/>
    <col min="12" max="12" width="8.625" style="66" customWidth="1"/>
    <col min="13" max="13" width="12.00390625" style="66" customWidth="1"/>
    <col min="14" max="17" width="9.50390625" style="66" customWidth="1"/>
    <col min="18" max="18" width="10.375" style="66" customWidth="1"/>
    <col min="19" max="16384" width="9.00390625" style="66" customWidth="1"/>
  </cols>
  <sheetData>
    <row r="1" spans="1:16" ht="13.5">
      <c r="A1" s="64" t="s">
        <v>122</v>
      </c>
      <c r="B1" s="64"/>
      <c r="C1" s="64"/>
      <c r="D1" s="64"/>
      <c r="E1" s="64"/>
      <c r="F1" s="64"/>
      <c r="G1" s="64"/>
      <c r="H1" s="64"/>
      <c r="I1" s="64"/>
      <c r="J1" s="64"/>
      <c r="K1" s="64"/>
      <c r="L1" s="65"/>
      <c r="M1" s="65"/>
      <c r="N1" s="65"/>
      <c r="O1" s="65"/>
      <c r="P1" s="65"/>
    </row>
    <row r="2" spans="1:16" ht="14.25" thickBot="1">
      <c r="A2" s="207" t="s">
        <v>125</v>
      </c>
      <c r="B2" s="207"/>
      <c r="C2" s="207"/>
      <c r="D2" s="207"/>
      <c r="E2" s="207"/>
      <c r="F2" s="207"/>
      <c r="G2" s="207"/>
      <c r="H2" s="207"/>
      <c r="I2" s="207"/>
      <c r="J2" s="94"/>
      <c r="K2" s="94"/>
      <c r="L2" s="65"/>
      <c r="M2" s="65"/>
      <c r="N2" s="65"/>
      <c r="O2" s="65"/>
      <c r="P2" s="65"/>
    </row>
    <row r="3" spans="1:18" ht="19.5" customHeight="1">
      <c r="A3" s="202" t="s">
        <v>29</v>
      </c>
      <c r="B3" s="205" t="s">
        <v>30</v>
      </c>
      <c r="C3" s="205"/>
      <c r="D3" s="205"/>
      <c r="E3" s="205"/>
      <c r="F3" s="205"/>
      <c r="G3" s="205"/>
      <c r="H3" s="205" t="s">
        <v>13</v>
      </c>
      <c r="I3" s="205"/>
      <c r="J3" s="217" t="s">
        <v>31</v>
      </c>
      <c r="K3" s="205"/>
      <c r="L3" s="205" t="s">
        <v>32</v>
      </c>
      <c r="M3" s="205"/>
      <c r="N3" s="208" t="s">
        <v>126</v>
      </c>
      <c r="O3" s="209"/>
      <c r="P3" s="209"/>
      <c r="Q3" s="209"/>
      <c r="R3" s="191" t="s">
        <v>124</v>
      </c>
    </row>
    <row r="4" spans="1:18" ht="17.25" customHeight="1">
      <c r="A4" s="203"/>
      <c r="B4" s="194" t="s">
        <v>16</v>
      </c>
      <c r="C4" s="194"/>
      <c r="D4" s="194" t="s">
        <v>34</v>
      </c>
      <c r="E4" s="194"/>
      <c r="F4" s="194" t="s">
        <v>35</v>
      </c>
      <c r="G4" s="194"/>
      <c r="H4" s="194"/>
      <c r="I4" s="194"/>
      <c r="J4" s="194"/>
      <c r="K4" s="194"/>
      <c r="L4" s="194"/>
      <c r="M4" s="194"/>
      <c r="N4" s="210" t="s">
        <v>127</v>
      </c>
      <c r="O4" s="212" t="s">
        <v>128</v>
      </c>
      <c r="P4" s="214" t="s">
        <v>129</v>
      </c>
      <c r="Q4" s="200" t="s">
        <v>130</v>
      </c>
      <c r="R4" s="192"/>
    </row>
    <row r="5" spans="1:18" ht="28.5" customHeight="1">
      <c r="A5" s="204"/>
      <c r="B5" s="67" t="s">
        <v>131</v>
      </c>
      <c r="C5" s="69" t="s">
        <v>132</v>
      </c>
      <c r="D5" s="67" t="s">
        <v>131</v>
      </c>
      <c r="E5" s="69" t="s">
        <v>132</v>
      </c>
      <c r="F5" s="67" t="s">
        <v>131</v>
      </c>
      <c r="G5" s="69" t="s">
        <v>38</v>
      </c>
      <c r="H5" s="67" t="s">
        <v>131</v>
      </c>
      <c r="I5" s="69" t="s">
        <v>39</v>
      </c>
      <c r="J5" s="67" t="s">
        <v>131</v>
      </c>
      <c r="K5" s="69" t="s">
        <v>40</v>
      </c>
      <c r="L5" s="67" t="s">
        <v>131</v>
      </c>
      <c r="M5" s="97" t="s">
        <v>133</v>
      </c>
      <c r="N5" s="211"/>
      <c r="O5" s="213"/>
      <c r="P5" s="215"/>
      <c r="Q5" s="216"/>
      <c r="R5" s="193"/>
    </row>
    <row r="6" spans="1:18" s="96" customFormat="1" ht="10.5">
      <c r="A6" s="73"/>
      <c r="B6" s="74" t="s">
        <v>4</v>
      </c>
      <c r="C6" s="75" t="s">
        <v>5</v>
      </c>
      <c r="D6" s="74" t="s">
        <v>4</v>
      </c>
      <c r="E6" s="75" t="s">
        <v>5</v>
      </c>
      <c r="F6" s="74" t="s">
        <v>4</v>
      </c>
      <c r="G6" s="75" t="s">
        <v>5</v>
      </c>
      <c r="H6" s="74" t="s">
        <v>4</v>
      </c>
      <c r="I6" s="75" t="s">
        <v>5</v>
      </c>
      <c r="J6" s="74" t="s">
        <v>4</v>
      </c>
      <c r="K6" s="75" t="s">
        <v>5</v>
      </c>
      <c r="L6" s="74" t="s">
        <v>4</v>
      </c>
      <c r="M6" s="75" t="s">
        <v>5</v>
      </c>
      <c r="N6" s="74" t="s">
        <v>4</v>
      </c>
      <c r="O6" s="98" t="s">
        <v>4</v>
      </c>
      <c r="P6" s="98" t="s">
        <v>4</v>
      </c>
      <c r="Q6" s="99" t="s">
        <v>4</v>
      </c>
      <c r="R6" s="77"/>
    </row>
    <row r="7" spans="1:18" ht="15.75" customHeight="1">
      <c r="A7" s="79" t="s">
        <v>42</v>
      </c>
      <c r="B7" s="126">
        <f>_xlfn.COMPOUNDVALUE(505)</f>
        <v>6433</v>
      </c>
      <c r="C7" s="127">
        <v>35363771</v>
      </c>
      <c r="D7" s="126">
        <f>_xlfn.COMPOUNDVALUE(506)</f>
        <v>4655</v>
      </c>
      <c r="E7" s="127">
        <v>1976678</v>
      </c>
      <c r="F7" s="126">
        <f>_xlfn.COMPOUNDVALUE(507)</f>
        <v>11088</v>
      </c>
      <c r="G7" s="127">
        <v>37340449</v>
      </c>
      <c r="H7" s="126">
        <f>_xlfn.COMPOUNDVALUE(508)</f>
        <v>401</v>
      </c>
      <c r="I7" s="128">
        <v>1418443</v>
      </c>
      <c r="J7" s="126">
        <v>850</v>
      </c>
      <c r="K7" s="128">
        <v>243708</v>
      </c>
      <c r="L7" s="126">
        <f>_xlfn.COMPOUNDVALUE(508)</f>
        <v>11784</v>
      </c>
      <c r="M7" s="128">
        <v>36165714</v>
      </c>
      <c r="N7" s="126">
        <v>11505</v>
      </c>
      <c r="O7" s="144">
        <v>276</v>
      </c>
      <c r="P7" s="144">
        <v>47</v>
      </c>
      <c r="Q7" s="145">
        <v>11828</v>
      </c>
      <c r="R7" s="80" t="s">
        <v>42</v>
      </c>
    </row>
    <row r="8" spans="1:18" ht="15.75" customHeight="1">
      <c r="A8" s="82" t="s">
        <v>43</v>
      </c>
      <c r="B8" s="129">
        <f>_xlfn.COMPOUNDVALUE(509)</f>
        <v>2615</v>
      </c>
      <c r="C8" s="130">
        <v>18818988</v>
      </c>
      <c r="D8" s="129">
        <f>_xlfn.COMPOUNDVALUE(510)</f>
        <v>1943</v>
      </c>
      <c r="E8" s="130">
        <v>831366</v>
      </c>
      <c r="F8" s="129">
        <f>_xlfn.COMPOUNDVALUE(511)</f>
        <v>4558</v>
      </c>
      <c r="G8" s="130">
        <v>19650354</v>
      </c>
      <c r="H8" s="129">
        <f>_xlfn.COMPOUNDVALUE(512)</f>
        <v>151</v>
      </c>
      <c r="I8" s="131">
        <v>4396253</v>
      </c>
      <c r="J8" s="129">
        <v>410</v>
      </c>
      <c r="K8" s="131">
        <v>47709</v>
      </c>
      <c r="L8" s="129">
        <f>_xlfn.COMPOUNDVALUE(512)</f>
        <v>4790</v>
      </c>
      <c r="M8" s="131">
        <v>15301811</v>
      </c>
      <c r="N8" s="126">
        <v>4868</v>
      </c>
      <c r="O8" s="144">
        <v>82</v>
      </c>
      <c r="P8" s="144">
        <v>15</v>
      </c>
      <c r="Q8" s="145">
        <v>4965</v>
      </c>
      <c r="R8" s="83" t="s">
        <v>43</v>
      </c>
    </row>
    <row r="9" spans="1:18" ht="15.75" customHeight="1">
      <c r="A9" s="82" t="s">
        <v>44</v>
      </c>
      <c r="B9" s="129">
        <f>_xlfn.COMPOUNDVALUE(513)</f>
        <v>6032</v>
      </c>
      <c r="C9" s="130">
        <v>29242756</v>
      </c>
      <c r="D9" s="129">
        <f>_xlfn.COMPOUNDVALUE(514)</f>
        <v>4398</v>
      </c>
      <c r="E9" s="130">
        <v>1866136</v>
      </c>
      <c r="F9" s="129">
        <f>_xlfn.COMPOUNDVALUE(515)</f>
        <v>10430</v>
      </c>
      <c r="G9" s="130">
        <v>31108891</v>
      </c>
      <c r="H9" s="129">
        <f>_xlfn.COMPOUNDVALUE(516)</f>
        <v>489</v>
      </c>
      <c r="I9" s="131">
        <v>1968793</v>
      </c>
      <c r="J9" s="129">
        <v>755</v>
      </c>
      <c r="K9" s="131">
        <v>106886</v>
      </c>
      <c r="L9" s="129">
        <f>_xlfn.COMPOUNDVALUE(516)</f>
        <v>11130</v>
      </c>
      <c r="M9" s="131">
        <v>29246985</v>
      </c>
      <c r="N9" s="126">
        <v>11109</v>
      </c>
      <c r="O9" s="144">
        <v>377</v>
      </c>
      <c r="P9" s="144">
        <v>46</v>
      </c>
      <c r="Q9" s="145">
        <v>11532</v>
      </c>
      <c r="R9" s="83" t="s">
        <v>44</v>
      </c>
    </row>
    <row r="10" spans="1:18" ht="15.75" customHeight="1">
      <c r="A10" s="82" t="s">
        <v>45</v>
      </c>
      <c r="B10" s="129">
        <f>_xlfn.COMPOUNDVALUE(517)</f>
        <v>3255</v>
      </c>
      <c r="C10" s="130">
        <v>11392953</v>
      </c>
      <c r="D10" s="129">
        <f>_xlfn.COMPOUNDVALUE(518)</f>
        <v>3090</v>
      </c>
      <c r="E10" s="130">
        <v>1194848</v>
      </c>
      <c r="F10" s="129">
        <f>_xlfn.COMPOUNDVALUE(519)</f>
        <v>6345</v>
      </c>
      <c r="G10" s="130">
        <v>12587801</v>
      </c>
      <c r="H10" s="129">
        <f>_xlfn.COMPOUNDVALUE(520)</f>
        <v>236</v>
      </c>
      <c r="I10" s="131">
        <v>607619</v>
      </c>
      <c r="J10" s="129">
        <v>437</v>
      </c>
      <c r="K10" s="131">
        <v>44379</v>
      </c>
      <c r="L10" s="129">
        <f>_xlfn.COMPOUNDVALUE(520)</f>
        <v>6717</v>
      </c>
      <c r="M10" s="131">
        <v>12024561</v>
      </c>
      <c r="N10" s="126">
        <v>6639</v>
      </c>
      <c r="O10" s="144">
        <v>172</v>
      </c>
      <c r="P10" s="144">
        <v>11</v>
      </c>
      <c r="Q10" s="145">
        <v>6822</v>
      </c>
      <c r="R10" s="83" t="s">
        <v>45</v>
      </c>
    </row>
    <row r="11" spans="1:18" ht="15.75" customHeight="1">
      <c r="A11" s="82" t="s">
        <v>46</v>
      </c>
      <c r="B11" s="129">
        <f>_xlfn.COMPOUNDVALUE(521)</f>
        <v>4827</v>
      </c>
      <c r="C11" s="130">
        <v>15732836</v>
      </c>
      <c r="D11" s="129">
        <f>_xlfn.COMPOUNDVALUE(522)</f>
        <v>4275</v>
      </c>
      <c r="E11" s="130">
        <v>1677817</v>
      </c>
      <c r="F11" s="129">
        <f>_xlfn.COMPOUNDVALUE(523)</f>
        <v>9102</v>
      </c>
      <c r="G11" s="130">
        <v>17410652</v>
      </c>
      <c r="H11" s="129">
        <f>_xlfn.COMPOUNDVALUE(524)</f>
        <v>308</v>
      </c>
      <c r="I11" s="131">
        <v>613855</v>
      </c>
      <c r="J11" s="129">
        <v>564</v>
      </c>
      <c r="K11" s="131">
        <v>45819</v>
      </c>
      <c r="L11" s="129">
        <f>_xlfn.COMPOUNDVALUE(524)</f>
        <v>9608</v>
      </c>
      <c r="M11" s="131">
        <v>16842616</v>
      </c>
      <c r="N11" s="126">
        <v>9289</v>
      </c>
      <c r="O11" s="144">
        <v>243</v>
      </c>
      <c r="P11" s="144">
        <v>22</v>
      </c>
      <c r="Q11" s="145">
        <v>9554</v>
      </c>
      <c r="R11" s="83" t="s">
        <v>46</v>
      </c>
    </row>
    <row r="12" spans="1:18" ht="15.75" customHeight="1">
      <c r="A12" s="82" t="s">
        <v>47</v>
      </c>
      <c r="B12" s="129">
        <f>_xlfn.COMPOUNDVALUE(525)</f>
        <v>4013</v>
      </c>
      <c r="C12" s="130">
        <v>10427758</v>
      </c>
      <c r="D12" s="129">
        <f>_xlfn.COMPOUNDVALUE(526)</f>
        <v>3281</v>
      </c>
      <c r="E12" s="130">
        <v>1387915</v>
      </c>
      <c r="F12" s="129">
        <f>_xlfn.COMPOUNDVALUE(527)</f>
        <v>7294</v>
      </c>
      <c r="G12" s="130">
        <v>11815673</v>
      </c>
      <c r="H12" s="129">
        <f>_xlfn.COMPOUNDVALUE(528)</f>
        <v>317</v>
      </c>
      <c r="I12" s="131">
        <v>618935</v>
      </c>
      <c r="J12" s="129">
        <v>447</v>
      </c>
      <c r="K12" s="131">
        <v>105768</v>
      </c>
      <c r="L12" s="129">
        <f>_xlfn.COMPOUNDVALUE(528)</f>
        <v>7786</v>
      </c>
      <c r="M12" s="131">
        <v>11302506</v>
      </c>
      <c r="N12" s="126">
        <v>7900</v>
      </c>
      <c r="O12" s="144">
        <v>228</v>
      </c>
      <c r="P12" s="144">
        <v>22</v>
      </c>
      <c r="Q12" s="145">
        <v>8150</v>
      </c>
      <c r="R12" s="83" t="s">
        <v>48</v>
      </c>
    </row>
    <row r="13" spans="1:18" ht="15.75" customHeight="1">
      <c r="A13" s="82" t="s">
        <v>49</v>
      </c>
      <c r="B13" s="129">
        <f>_xlfn.COMPOUNDVALUE(529)</f>
        <v>3693</v>
      </c>
      <c r="C13" s="130">
        <v>16784927</v>
      </c>
      <c r="D13" s="129">
        <f>_xlfn.COMPOUNDVALUE(530)</f>
        <v>2799</v>
      </c>
      <c r="E13" s="130">
        <v>1134051</v>
      </c>
      <c r="F13" s="129">
        <f>_xlfn.COMPOUNDVALUE(531)</f>
        <v>6492</v>
      </c>
      <c r="G13" s="130">
        <v>17918978</v>
      </c>
      <c r="H13" s="129">
        <f>_xlfn.COMPOUNDVALUE(532)</f>
        <v>230</v>
      </c>
      <c r="I13" s="131">
        <v>2529513</v>
      </c>
      <c r="J13" s="129">
        <v>446</v>
      </c>
      <c r="K13" s="131">
        <v>39951</v>
      </c>
      <c r="L13" s="129">
        <f>_xlfn.COMPOUNDVALUE(532)</f>
        <v>6882</v>
      </c>
      <c r="M13" s="131">
        <v>15429417</v>
      </c>
      <c r="N13" s="126">
        <v>6697</v>
      </c>
      <c r="O13" s="144">
        <v>158</v>
      </c>
      <c r="P13" s="144">
        <v>15</v>
      </c>
      <c r="Q13" s="145">
        <v>6870</v>
      </c>
      <c r="R13" s="83" t="s">
        <v>49</v>
      </c>
    </row>
    <row r="14" spans="1:18" ht="15.75" customHeight="1">
      <c r="A14" s="82" t="s">
        <v>50</v>
      </c>
      <c r="B14" s="129">
        <f>_xlfn.COMPOUNDVALUE(533)</f>
        <v>4156</v>
      </c>
      <c r="C14" s="130">
        <v>13946016</v>
      </c>
      <c r="D14" s="129">
        <f>_xlfn.COMPOUNDVALUE(534)</f>
        <v>3938</v>
      </c>
      <c r="E14" s="130">
        <v>1655411</v>
      </c>
      <c r="F14" s="129">
        <f>_xlfn.COMPOUNDVALUE(535)</f>
        <v>8094</v>
      </c>
      <c r="G14" s="130">
        <v>15601427</v>
      </c>
      <c r="H14" s="129">
        <f>_xlfn.COMPOUNDVALUE(536)</f>
        <v>267</v>
      </c>
      <c r="I14" s="131">
        <v>662188</v>
      </c>
      <c r="J14" s="129">
        <v>601</v>
      </c>
      <c r="K14" s="131">
        <v>76803</v>
      </c>
      <c r="L14" s="129">
        <f>_xlfn.COMPOUNDVALUE(536)</f>
        <v>8508</v>
      </c>
      <c r="M14" s="131">
        <v>15016043</v>
      </c>
      <c r="N14" s="126">
        <v>8488</v>
      </c>
      <c r="O14" s="144">
        <v>185</v>
      </c>
      <c r="P14" s="144">
        <v>16</v>
      </c>
      <c r="Q14" s="145">
        <v>8689</v>
      </c>
      <c r="R14" s="83" t="s">
        <v>50</v>
      </c>
    </row>
    <row r="15" spans="1:18" ht="15.75" customHeight="1">
      <c r="A15" s="84" t="s">
        <v>134</v>
      </c>
      <c r="B15" s="132">
        <v>35024</v>
      </c>
      <c r="C15" s="133">
        <v>151710003</v>
      </c>
      <c r="D15" s="132">
        <v>28379</v>
      </c>
      <c r="E15" s="133">
        <v>11724221</v>
      </c>
      <c r="F15" s="132">
        <v>63403</v>
      </c>
      <c r="G15" s="133">
        <v>163434225</v>
      </c>
      <c r="H15" s="132">
        <v>2399</v>
      </c>
      <c r="I15" s="134">
        <v>12815599</v>
      </c>
      <c r="J15" s="132">
        <v>4510</v>
      </c>
      <c r="K15" s="134">
        <v>711024</v>
      </c>
      <c r="L15" s="132">
        <v>67205</v>
      </c>
      <c r="M15" s="134">
        <v>151329650</v>
      </c>
      <c r="N15" s="132">
        <v>66495</v>
      </c>
      <c r="O15" s="146">
        <v>1721</v>
      </c>
      <c r="P15" s="146">
        <v>194</v>
      </c>
      <c r="Q15" s="147">
        <v>68410</v>
      </c>
      <c r="R15" s="85" t="s">
        <v>52</v>
      </c>
    </row>
    <row r="16" spans="1:18" ht="15.75" customHeight="1">
      <c r="A16" s="86"/>
      <c r="B16" s="135"/>
      <c r="C16" s="136"/>
      <c r="D16" s="135"/>
      <c r="E16" s="136"/>
      <c r="F16" s="137"/>
      <c r="G16" s="136"/>
      <c r="H16" s="137"/>
      <c r="I16" s="136"/>
      <c r="J16" s="137"/>
      <c r="K16" s="136"/>
      <c r="L16" s="137"/>
      <c r="M16" s="136"/>
      <c r="N16" s="148"/>
      <c r="O16" s="149"/>
      <c r="P16" s="149"/>
      <c r="Q16" s="150"/>
      <c r="R16" s="100" t="s">
        <v>135</v>
      </c>
    </row>
    <row r="17" spans="1:18" ht="15.75" customHeight="1">
      <c r="A17" s="79" t="s">
        <v>53</v>
      </c>
      <c r="B17" s="126">
        <f>_xlfn.COMPOUNDVALUE(537)</f>
        <v>7030</v>
      </c>
      <c r="C17" s="127">
        <v>38872859</v>
      </c>
      <c r="D17" s="126">
        <f>_xlfn.COMPOUNDVALUE(538)</f>
        <v>5188</v>
      </c>
      <c r="E17" s="127">
        <v>2236860</v>
      </c>
      <c r="F17" s="126">
        <f>_xlfn.COMPOUNDVALUE(539)</f>
        <v>12218</v>
      </c>
      <c r="G17" s="127">
        <v>41109719</v>
      </c>
      <c r="H17" s="126">
        <f>_xlfn.COMPOUNDVALUE(540)</f>
        <v>390</v>
      </c>
      <c r="I17" s="128">
        <v>1596828</v>
      </c>
      <c r="J17" s="126">
        <v>804</v>
      </c>
      <c r="K17" s="128">
        <v>87991</v>
      </c>
      <c r="L17" s="126">
        <f>_xlfn.COMPOUNDVALUE(540)</f>
        <v>12818</v>
      </c>
      <c r="M17" s="128">
        <v>39600882</v>
      </c>
      <c r="N17" s="126">
        <v>12699</v>
      </c>
      <c r="O17" s="144">
        <v>303</v>
      </c>
      <c r="P17" s="144">
        <v>45</v>
      </c>
      <c r="Q17" s="145">
        <v>13047</v>
      </c>
      <c r="R17" s="83" t="s">
        <v>53</v>
      </c>
    </row>
    <row r="18" spans="1:18" ht="15.75" customHeight="1">
      <c r="A18" s="82" t="s">
        <v>54</v>
      </c>
      <c r="B18" s="129">
        <f>_xlfn.COMPOUNDVALUE(541)</f>
        <v>2138</v>
      </c>
      <c r="C18" s="130">
        <v>8596485</v>
      </c>
      <c r="D18" s="129">
        <f>_xlfn.COMPOUNDVALUE(542)</f>
        <v>1707</v>
      </c>
      <c r="E18" s="130">
        <v>694678</v>
      </c>
      <c r="F18" s="129">
        <f>_xlfn.COMPOUNDVALUE(543)</f>
        <v>3845</v>
      </c>
      <c r="G18" s="130">
        <v>9291162</v>
      </c>
      <c r="H18" s="129">
        <f>_xlfn.COMPOUNDVALUE(544)</f>
        <v>149</v>
      </c>
      <c r="I18" s="131">
        <v>243129</v>
      </c>
      <c r="J18" s="129">
        <v>237</v>
      </c>
      <c r="K18" s="131">
        <v>24511</v>
      </c>
      <c r="L18" s="129">
        <f>_xlfn.COMPOUNDVALUE(544)</f>
        <v>4049</v>
      </c>
      <c r="M18" s="131">
        <v>9072544</v>
      </c>
      <c r="N18" s="126">
        <v>3972</v>
      </c>
      <c r="O18" s="144">
        <v>82</v>
      </c>
      <c r="P18" s="144">
        <v>8</v>
      </c>
      <c r="Q18" s="145">
        <v>4062</v>
      </c>
      <c r="R18" s="83" t="s">
        <v>54</v>
      </c>
    </row>
    <row r="19" spans="1:18" ht="15.75" customHeight="1">
      <c r="A19" s="82" t="s">
        <v>55</v>
      </c>
      <c r="B19" s="129">
        <f>_xlfn.COMPOUNDVALUE(545)</f>
        <v>5127</v>
      </c>
      <c r="C19" s="130">
        <v>21526287</v>
      </c>
      <c r="D19" s="129">
        <f>_xlfn.COMPOUNDVALUE(546)</f>
        <v>4516</v>
      </c>
      <c r="E19" s="130">
        <v>1807437</v>
      </c>
      <c r="F19" s="129">
        <f>_xlfn.COMPOUNDVALUE(547)</f>
        <v>9643</v>
      </c>
      <c r="G19" s="130">
        <v>23333724</v>
      </c>
      <c r="H19" s="129">
        <f>_xlfn.COMPOUNDVALUE(548)</f>
        <v>390</v>
      </c>
      <c r="I19" s="131">
        <v>2022911</v>
      </c>
      <c r="J19" s="129">
        <v>702</v>
      </c>
      <c r="K19" s="131">
        <v>99958</v>
      </c>
      <c r="L19" s="129">
        <f>_xlfn.COMPOUNDVALUE(548)</f>
        <v>10249</v>
      </c>
      <c r="M19" s="131">
        <v>21410771</v>
      </c>
      <c r="N19" s="126">
        <v>10034</v>
      </c>
      <c r="O19" s="144">
        <v>250</v>
      </c>
      <c r="P19" s="144">
        <v>34</v>
      </c>
      <c r="Q19" s="145">
        <v>10318</v>
      </c>
      <c r="R19" s="83" t="s">
        <v>55</v>
      </c>
    </row>
    <row r="20" spans="1:18" ht="15.75" customHeight="1">
      <c r="A20" s="82" t="s">
        <v>56</v>
      </c>
      <c r="B20" s="129">
        <f>_xlfn.COMPOUNDVALUE(549)</f>
        <v>1565</v>
      </c>
      <c r="C20" s="130">
        <v>5192750</v>
      </c>
      <c r="D20" s="129">
        <f>_xlfn.COMPOUNDVALUE(550)</f>
        <v>1282</v>
      </c>
      <c r="E20" s="130">
        <v>512165</v>
      </c>
      <c r="F20" s="129">
        <f>_xlfn.COMPOUNDVALUE(551)</f>
        <v>2847</v>
      </c>
      <c r="G20" s="130">
        <v>5704915</v>
      </c>
      <c r="H20" s="129">
        <f>_xlfn.COMPOUNDVALUE(552)</f>
        <v>134</v>
      </c>
      <c r="I20" s="131">
        <v>560241</v>
      </c>
      <c r="J20" s="129">
        <v>167</v>
      </c>
      <c r="K20" s="131">
        <v>24462</v>
      </c>
      <c r="L20" s="129">
        <f>_xlfn.COMPOUNDVALUE(552)</f>
        <v>3014</v>
      </c>
      <c r="M20" s="131">
        <v>5169136</v>
      </c>
      <c r="N20" s="126">
        <v>2994</v>
      </c>
      <c r="O20" s="144">
        <v>70</v>
      </c>
      <c r="P20" s="144">
        <v>12</v>
      </c>
      <c r="Q20" s="145">
        <v>3076</v>
      </c>
      <c r="R20" s="83" t="s">
        <v>56</v>
      </c>
    </row>
    <row r="21" spans="1:18" ht="15.75" customHeight="1">
      <c r="A21" s="82" t="s">
        <v>57</v>
      </c>
      <c r="B21" s="129">
        <f>_xlfn.COMPOUNDVALUE(553)</f>
        <v>2561</v>
      </c>
      <c r="C21" s="130">
        <v>8030122</v>
      </c>
      <c r="D21" s="129">
        <f>_xlfn.COMPOUNDVALUE(554)</f>
        <v>2201</v>
      </c>
      <c r="E21" s="130">
        <v>865631</v>
      </c>
      <c r="F21" s="129">
        <f>_xlfn.COMPOUNDVALUE(555)</f>
        <v>4762</v>
      </c>
      <c r="G21" s="130">
        <v>8895753</v>
      </c>
      <c r="H21" s="129">
        <f>_xlfn.COMPOUNDVALUE(556)</f>
        <v>163</v>
      </c>
      <c r="I21" s="131">
        <v>537017</v>
      </c>
      <c r="J21" s="129">
        <v>349</v>
      </c>
      <c r="K21" s="131">
        <v>33674</v>
      </c>
      <c r="L21" s="129">
        <f>_xlfn.COMPOUNDVALUE(556)</f>
        <v>4971</v>
      </c>
      <c r="M21" s="131">
        <v>8392410</v>
      </c>
      <c r="N21" s="126">
        <v>4862</v>
      </c>
      <c r="O21" s="144">
        <v>101</v>
      </c>
      <c r="P21" s="144">
        <v>10</v>
      </c>
      <c r="Q21" s="145">
        <v>4973</v>
      </c>
      <c r="R21" s="83" t="s">
        <v>57</v>
      </c>
    </row>
    <row r="22" spans="1:18" ht="15.75" customHeight="1">
      <c r="A22" s="82" t="s">
        <v>58</v>
      </c>
      <c r="B22" s="129">
        <f>_xlfn.COMPOUNDVALUE(557)</f>
        <v>1606</v>
      </c>
      <c r="C22" s="130">
        <v>9165114</v>
      </c>
      <c r="D22" s="129">
        <f>_xlfn.COMPOUNDVALUE(558)</f>
        <v>1841</v>
      </c>
      <c r="E22" s="130">
        <v>663018</v>
      </c>
      <c r="F22" s="129">
        <f>_xlfn.COMPOUNDVALUE(559)</f>
        <v>3447</v>
      </c>
      <c r="G22" s="130">
        <v>9828131</v>
      </c>
      <c r="H22" s="129">
        <f>_xlfn.COMPOUNDVALUE(560)</f>
        <v>126</v>
      </c>
      <c r="I22" s="131">
        <v>415173</v>
      </c>
      <c r="J22" s="129">
        <v>231</v>
      </c>
      <c r="K22" s="131">
        <v>-27555</v>
      </c>
      <c r="L22" s="129">
        <f>_xlfn.COMPOUNDVALUE(560)</f>
        <v>3635</v>
      </c>
      <c r="M22" s="131">
        <v>9385403</v>
      </c>
      <c r="N22" s="126">
        <v>3451</v>
      </c>
      <c r="O22" s="144">
        <v>85</v>
      </c>
      <c r="P22" s="144">
        <v>7</v>
      </c>
      <c r="Q22" s="145">
        <v>3543</v>
      </c>
      <c r="R22" s="83" t="s">
        <v>58</v>
      </c>
    </row>
    <row r="23" spans="1:18" ht="15.75" customHeight="1">
      <c r="A23" s="82" t="s">
        <v>59</v>
      </c>
      <c r="B23" s="129">
        <f>_xlfn.COMPOUNDVALUE(561)</f>
        <v>2823</v>
      </c>
      <c r="C23" s="130">
        <v>8112774</v>
      </c>
      <c r="D23" s="129">
        <f>_xlfn.COMPOUNDVALUE(562)</f>
        <v>2624</v>
      </c>
      <c r="E23" s="130">
        <v>1032156</v>
      </c>
      <c r="F23" s="129">
        <f>_xlfn.COMPOUNDVALUE(563)</f>
        <v>5447</v>
      </c>
      <c r="G23" s="130">
        <v>9144930</v>
      </c>
      <c r="H23" s="129">
        <f>_xlfn.COMPOUNDVALUE(564)</f>
        <v>219</v>
      </c>
      <c r="I23" s="131">
        <v>3826155</v>
      </c>
      <c r="J23" s="129">
        <v>308</v>
      </c>
      <c r="K23" s="131">
        <v>49534</v>
      </c>
      <c r="L23" s="129">
        <f>_xlfn.COMPOUNDVALUE(564)</f>
        <v>5768</v>
      </c>
      <c r="M23" s="131">
        <v>5368310</v>
      </c>
      <c r="N23" s="126">
        <v>5570</v>
      </c>
      <c r="O23" s="144">
        <v>162</v>
      </c>
      <c r="P23" s="144">
        <v>14</v>
      </c>
      <c r="Q23" s="145">
        <v>5746</v>
      </c>
      <c r="R23" s="83" t="s">
        <v>59</v>
      </c>
    </row>
    <row r="24" spans="1:18" ht="15.75" customHeight="1">
      <c r="A24" s="82" t="s">
        <v>60</v>
      </c>
      <c r="B24" s="129">
        <f>_xlfn.COMPOUNDVALUE(565)</f>
        <v>1714</v>
      </c>
      <c r="C24" s="130">
        <v>4473546</v>
      </c>
      <c r="D24" s="129">
        <f>_xlfn.COMPOUNDVALUE(566)</f>
        <v>1767</v>
      </c>
      <c r="E24" s="130">
        <v>679060</v>
      </c>
      <c r="F24" s="129">
        <f>_xlfn.COMPOUNDVALUE(567)</f>
        <v>3481</v>
      </c>
      <c r="G24" s="130">
        <v>5152606</v>
      </c>
      <c r="H24" s="129">
        <f>_xlfn.COMPOUNDVALUE(568)</f>
        <v>148</v>
      </c>
      <c r="I24" s="131">
        <v>877666</v>
      </c>
      <c r="J24" s="129">
        <v>217</v>
      </c>
      <c r="K24" s="131">
        <v>23730</v>
      </c>
      <c r="L24" s="129">
        <f>_xlfn.COMPOUNDVALUE(568)</f>
        <v>3687</v>
      </c>
      <c r="M24" s="131">
        <v>4298670</v>
      </c>
      <c r="N24" s="126">
        <v>3540</v>
      </c>
      <c r="O24" s="144">
        <v>81</v>
      </c>
      <c r="P24" s="144">
        <v>6</v>
      </c>
      <c r="Q24" s="145">
        <v>3627</v>
      </c>
      <c r="R24" s="83" t="s">
        <v>60</v>
      </c>
    </row>
    <row r="25" spans="1:18" ht="15.75" customHeight="1">
      <c r="A25" s="84" t="s">
        <v>61</v>
      </c>
      <c r="B25" s="132">
        <v>24564</v>
      </c>
      <c r="C25" s="133">
        <v>103969937</v>
      </c>
      <c r="D25" s="132">
        <v>21126</v>
      </c>
      <c r="E25" s="133">
        <v>8491003</v>
      </c>
      <c r="F25" s="132">
        <v>45690</v>
      </c>
      <c r="G25" s="133">
        <v>112460940</v>
      </c>
      <c r="H25" s="132">
        <v>1719</v>
      </c>
      <c r="I25" s="134">
        <v>10079120</v>
      </c>
      <c r="J25" s="132">
        <v>3015</v>
      </c>
      <c r="K25" s="134">
        <v>316304</v>
      </c>
      <c r="L25" s="132">
        <v>48191</v>
      </c>
      <c r="M25" s="134">
        <v>102698124</v>
      </c>
      <c r="N25" s="132">
        <v>47122</v>
      </c>
      <c r="O25" s="146">
        <v>1134</v>
      </c>
      <c r="P25" s="146">
        <v>136</v>
      </c>
      <c r="Q25" s="147">
        <v>48392</v>
      </c>
      <c r="R25" s="85" t="s">
        <v>62</v>
      </c>
    </row>
    <row r="26" spans="1:18" ht="15.75" customHeight="1">
      <c r="A26" s="86"/>
      <c r="B26" s="135"/>
      <c r="C26" s="136"/>
      <c r="D26" s="135"/>
      <c r="E26" s="136"/>
      <c r="F26" s="137"/>
      <c r="G26" s="136"/>
      <c r="H26" s="137"/>
      <c r="I26" s="136"/>
      <c r="J26" s="137"/>
      <c r="K26" s="136"/>
      <c r="L26" s="137"/>
      <c r="M26" s="136"/>
      <c r="N26" s="148"/>
      <c r="O26" s="149"/>
      <c r="P26" s="149"/>
      <c r="Q26" s="150"/>
      <c r="R26" s="100" t="s">
        <v>135</v>
      </c>
    </row>
    <row r="27" spans="1:18" ht="15.75" customHeight="1">
      <c r="A27" s="79" t="s">
        <v>63</v>
      </c>
      <c r="B27" s="126">
        <f>_xlfn.COMPOUNDVALUE(569)</f>
        <v>4770</v>
      </c>
      <c r="C27" s="127">
        <v>28538563</v>
      </c>
      <c r="D27" s="126">
        <f>_xlfn.COMPOUNDVALUE(570)</f>
        <v>3385</v>
      </c>
      <c r="E27" s="127">
        <v>1431530</v>
      </c>
      <c r="F27" s="126">
        <f>_xlfn.COMPOUNDVALUE(571)</f>
        <v>8155</v>
      </c>
      <c r="G27" s="127">
        <v>29970093</v>
      </c>
      <c r="H27" s="126">
        <f>_xlfn.COMPOUNDVALUE(572)</f>
        <v>345</v>
      </c>
      <c r="I27" s="128">
        <v>1474425</v>
      </c>
      <c r="J27" s="126">
        <v>685</v>
      </c>
      <c r="K27" s="128">
        <v>82200</v>
      </c>
      <c r="L27" s="126">
        <f>_xlfn.COMPOUNDVALUE(572)</f>
        <v>8593</v>
      </c>
      <c r="M27" s="128">
        <v>28577869</v>
      </c>
      <c r="N27" s="126">
        <v>8587</v>
      </c>
      <c r="O27" s="144">
        <v>191</v>
      </c>
      <c r="P27" s="144">
        <v>32</v>
      </c>
      <c r="Q27" s="145">
        <v>8810</v>
      </c>
      <c r="R27" s="83" t="s">
        <v>63</v>
      </c>
    </row>
    <row r="28" spans="1:18" ht="15.75" customHeight="1">
      <c r="A28" s="79" t="s">
        <v>64</v>
      </c>
      <c r="B28" s="126">
        <f>_xlfn.COMPOUNDVALUE(573)</f>
        <v>6760</v>
      </c>
      <c r="C28" s="127">
        <v>44177055</v>
      </c>
      <c r="D28" s="126">
        <f>_xlfn.COMPOUNDVALUE(574)</f>
        <v>5093</v>
      </c>
      <c r="E28" s="127">
        <v>2148544</v>
      </c>
      <c r="F28" s="126">
        <f>_xlfn.COMPOUNDVALUE(575)</f>
        <v>11853</v>
      </c>
      <c r="G28" s="127">
        <v>46325599</v>
      </c>
      <c r="H28" s="126">
        <f>_xlfn.COMPOUNDVALUE(576)</f>
        <v>402</v>
      </c>
      <c r="I28" s="128">
        <v>5782318</v>
      </c>
      <c r="J28" s="126">
        <v>729</v>
      </c>
      <c r="K28" s="128">
        <v>93969</v>
      </c>
      <c r="L28" s="126">
        <f>_xlfn.COMPOUNDVALUE(576)</f>
        <v>12489</v>
      </c>
      <c r="M28" s="128">
        <v>40637250</v>
      </c>
      <c r="N28" s="126">
        <v>12445</v>
      </c>
      <c r="O28" s="144">
        <v>268</v>
      </c>
      <c r="P28" s="144">
        <v>38</v>
      </c>
      <c r="Q28" s="145">
        <v>12751</v>
      </c>
      <c r="R28" s="83" t="s">
        <v>64</v>
      </c>
    </row>
    <row r="29" spans="1:18" ht="15.75" customHeight="1">
      <c r="A29" s="82" t="s">
        <v>65</v>
      </c>
      <c r="B29" s="129">
        <f>_xlfn.COMPOUNDVALUE(577)</f>
        <v>2455</v>
      </c>
      <c r="C29" s="130">
        <v>8746476</v>
      </c>
      <c r="D29" s="129">
        <f>_xlfn.COMPOUNDVALUE(578)</f>
        <v>1948</v>
      </c>
      <c r="E29" s="130">
        <v>757663</v>
      </c>
      <c r="F29" s="129">
        <f>_xlfn.COMPOUNDVALUE(579)</f>
        <v>4403</v>
      </c>
      <c r="G29" s="130">
        <v>9504139</v>
      </c>
      <c r="H29" s="129">
        <f>_xlfn.COMPOUNDVALUE(580)</f>
        <v>153</v>
      </c>
      <c r="I29" s="131">
        <v>2315721</v>
      </c>
      <c r="J29" s="129">
        <v>286</v>
      </c>
      <c r="K29" s="131">
        <v>46058</v>
      </c>
      <c r="L29" s="129">
        <f>_xlfn.COMPOUNDVALUE(580)</f>
        <v>4635</v>
      </c>
      <c r="M29" s="131">
        <v>7234475</v>
      </c>
      <c r="N29" s="126">
        <v>4474</v>
      </c>
      <c r="O29" s="144">
        <v>98</v>
      </c>
      <c r="P29" s="144">
        <v>8</v>
      </c>
      <c r="Q29" s="145">
        <v>4580</v>
      </c>
      <c r="R29" s="83" t="s">
        <v>65</v>
      </c>
    </row>
    <row r="30" spans="1:18" ht="15.75" customHeight="1">
      <c r="A30" s="82" t="s">
        <v>66</v>
      </c>
      <c r="B30" s="129">
        <f>_xlfn.COMPOUNDVALUE(581)</f>
        <v>3081</v>
      </c>
      <c r="C30" s="130">
        <v>12541590</v>
      </c>
      <c r="D30" s="129">
        <f>_xlfn.COMPOUNDVALUE(582)</f>
        <v>2275</v>
      </c>
      <c r="E30" s="130">
        <v>927429</v>
      </c>
      <c r="F30" s="129">
        <f>_xlfn.COMPOUNDVALUE(583)</f>
        <v>5356</v>
      </c>
      <c r="G30" s="130">
        <v>13469019</v>
      </c>
      <c r="H30" s="129">
        <f>_xlfn.COMPOUNDVALUE(584)</f>
        <v>271</v>
      </c>
      <c r="I30" s="131">
        <v>2606333</v>
      </c>
      <c r="J30" s="129">
        <v>315</v>
      </c>
      <c r="K30" s="131">
        <v>43335</v>
      </c>
      <c r="L30" s="129">
        <f>_xlfn.COMPOUNDVALUE(584)</f>
        <v>5684</v>
      </c>
      <c r="M30" s="131">
        <v>10906021</v>
      </c>
      <c r="N30" s="126">
        <v>5617</v>
      </c>
      <c r="O30" s="144">
        <v>181</v>
      </c>
      <c r="P30" s="144">
        <v>24</v>
      </c>
      <c r="Q30" s="145">
        <v>5822</v>
      </c>
      <c r="R30" s="83" t="s">
        <v>66</v>
      </c>
    </row>
    <row r="31" spans="1:18" ht="15.75" customHeight="1">
      <c r="A31" s="82" t="s">
        <v>67</v>
      </c>
      <c r="B31" s="129">
        <f>_xlfn.COMPOUNDVALUE(585)</f>
        <v>1328</v>
      </c>
      <c r="C31" s="130">
        <v>3308196</v>
      </c>
      <c r="D31" s="129">
        <f>_xlfn.COMPOUNDVALUE(586)</f>
        <v>1356</v>
      </c>
      <c r="E31" s="130">
        <v>567844</v>
      </c>
      <c r="F31" s="129">
        <f>_xlfn.COMPOUNDVALUE(587)</f>
        <v>2684</v>
      </c>
      <c r="G31" s="130">
        <v>3876040</v>
      </c>
      <c r="H31" s="129">
        <f>_xlfn.COMPOUNDVALUE(588)</f>
        <v>64</v>
      </c>
      <c r="I31" s="131">
        <v>92892</v>
      </c>
      <c r="J31" s="129">
        <v>249</v>
      </c>
      <c r="K31" s="131">
        <v>31892</v>
      </c>
      <c r="L31" s="129">
        <f>_xlfn.COMPOUNDVALUE(588)</f>
        <v>2816</v>
      </c>
      <c r="M31" s="131">
        <v>3815040</v>
      </c>
      <c r="N31" s="126">
        <v>2769</v>
      </c>
      <c r="O31" s="144">
        <v>61</v>
      </c>
      <c r="P31" s="144">
        <v>4</v>
      </c>
      <c r="Q31" s="145">
        <v>2834</v>
      </c>
      <c r="R31" s="83" t="s">
        <v>67</v>
      </c>
    </row>
    <row r="32" spans="1:18" ht="15.75" customHeight="1">
      <c r="A32" s="82" t="s">
        <v>68</v>
      </c>
      <c r="B32" s="129">
        <f>_xlfn.COMPOUNDVALUE(589)</f>
        <v>4979</v>
      </c>
      <c r="C32" s="130">
        <v>23162220</v>
      </c>
      <c r="D32" s="129">
        <f>_xlfn.COMPOUNDVALUE(590)</f>
        <v>3965</v>
      </c>
      <c r="E32" s="130">
        <v>1659476</v>
      </c>
      <c r="F32" s="129">
        <f>_xlfn.COMPOUNDVALUE(591)</f>
        <v>8944</v>
      </c>
      <c r="G32" s="130">
        <v>24821695</v>
      </c>
      <c r="H32" s="129">
        <f>_xlfn.COMPOUNDVALUE(592)</f>
        <v>493</v>
      </c>
      <c r="I32" s="131">
        <v>2538337</v>
      </c>
      <c r="J32" s="129">
        <v>474</v>
      </c>
      <c r="K32" s="131">
        <v>121655</v>
      </c>
      <c r="L32" s="129">
        <f>_xlfn.COMPOUNDVALUE(592)</f>
        <v>9595</v>
      </c>
      <c r="M32" s="131">
        <v>22405013</v>
      </c>
      <c r="N32" s="126">
        <v>9509</v>
      </c>
      <c r="O32" s="144">
        <v>328</v>
      </c>
      <c r="P32" s="144">
        <v>26</v>
      </c>
      <c r="Q32" s="145">
        <v>9863</v>
      </c>
      <c r="R32" s="83" t="s">
        <v>68</v>
      </c>
    </row>
    <row r="33" spans="1:18" ht="15.75" customHeight="1">
      <c r="A33" s="82" t="s">
        <v>69</v>
      </c>
      <c r="B33" s="129">
        <f>_xlfn.COMPOUNDVALUE(593)</f>
        <v>811</v>
      </c>
      <c r="C33" s="130">
        <v>2174738</v>
      </c>
      <c r="D33" s="129">
        <f>_xlfn.COMPOUNDVALUE(594)</f>
        <v>651</v>
      </c>
      <c r="E33" s="130">
        <v>250352</v>
      </c>
      <c r="F33" s="129">
        <f>_xlfn.COMPOUNDVALUE(595)</f>
        <v>1462</v>
      </c>
      <c r="G33" s="130">
        <v>2425089</v>
      </c>
      <c r="H33" s="129">
        <f>_xlfn.COMPOUNDVALUE(596)</f>
        <v>62</v>
      </c>
      <c r="I33" s="131">
        <v>186300</v>
      </c>
      <c r="J33" s="129">
        <v>98</v>
      </c>
      <c r="K33" s="131">
        <v>9609</v>
      </c>
      <c r="L33" s="129">
        <f>_xlfn.COMPOUNDVALUE(596)</f>
        <v>1553</v>
      </c>
      <c r="M33" s="131">
        <v>2248399</v>
      </c>
      <c r="N33" s="126">
        <v>1512</v>
      </c>
      <c r="O33" s="144">
        <v>33</v>
      </c>
      <c r="P33" s="144">
        <v>6</v>
      </c>
      <c r="Q33" s="145">
        <v>1551</v>
      </c>
      <c r="R33" s="83" t="s">
        <v>69</v>
      </c>
    </row>
    <row r="34" spans="1:18" ht="15.75" customHeight="1">
      <c r="A34" s="82" t="s">
        <v>70</v>
      </c>
      <c r="B34" s="129">
        <f>_xlfn.COMPOUNDVALUE(597)</f>
        <v>1030</v>
      </c>
      <c r="C34" s="130">
        <v>3418032</v>
      </c>
      <c r="D34" s="129">
        <f>_xlfn.COMPOUNDVALUE(598)</f>
        <v>1046</v>
      </c>
      <c r="E34" s="130">
        <v>421325</v>
      </c>
      <c r="F34" s="129">
        <f>_xlfn.COMPOUNDVALUE(599)</f>
        <v>2076</v>
      </c>
      <c r="G34" s="130">
        <v>3839357</v>
      </c>
      <c r="H34" s="129">
        <f>_xlfn.COMPOUNDVALUE(600)</f>
        <v>65</v>
      </c>
      <c r="I34" s="131">
        <v>91232</v>
      </c>
      <c r="J34" s="129">
        <v>103</v>
      </c>
      <c r="K34" s="131">
        <v>14014</v>
      </c>
      <c r="L34" s="129">
        <f>_xlfn.COMPOUNDVALUE(600)</f>
        <v>2166</v>
      </c>
      <c r="M34" s="131">
        <v>3762139</v>
      </c>
      <c r="N34" s="126">
        <v>2128</v>
      </c>
      <c r="O34" s="144">
        <v>35</v>
      </c>
      <c r="P34" s="144">
        <v>3</v>
      </c>
      <c r="Q34" s="145">
        <v>2166</v>
      </c>
      <c r="R34" s="83" t="s">
        <v>70</v>
      </c>
    </row>
    <row r="35" spans="1:18" ht="15.75" customHeight="1">
      <c r="A35" s="82" t="s">
        <v>71</v>
      </c>
      <c r="B35" s="129">
        <f>_xlfn.COMPOUNDVALUE(601)</f>
        <v>935</v>
      </c>
      <c r="C35" s="130">
        <v>2442060</v>
      </c>
      <c r="D35" s="129">
        <f>_xlfn.COMPOUNDVALUE(602)</f>
        <v>1040</v>
      </c>
      <c r="E35" s="130">
        <v>547819</v>
      </c>
      <c r="F35" s="129">
        <f>_xlfn.COMPOUNDVALUE(603)</f>
        <v>1975</v>
      </c>
      <c r="G35" s="130">
        <v>2989879</v>
      </c>
      <c r="H35" s="129">
        <f>_xlfn.COMPOUNDVALUE(604)</f>
        <v>52</v>
      </c>
      <c r="I35" s="131">
        <v>73650</v>
      </c>
      <c r="J35" s="129">
        <v>139</v>
      </c>
      <c r="K35" s="131">
        <v>30219</v>
      </c>
      <c r="L35" s="129">
        <f>_xlfn.COMPOUNDVALUE(604)</f>
        <v>2045</v>
      </c>
      <c r="M35" s="131">
        <v>2946447</v>
      </c>
      <c r="N35" s="126">
        <v>2018</v>
      </c>
      <c r="O35" s="144">
        <v>64</v>
      </c>
      <c r="P35" s="144">
        <v>2</v>
      </c>
      <c r="Q35" s="145">
        <v>2084</v>
      </c>
      <c r="R35" s="83" t="s">
        <v>71</v>
      </c>
    </row>
    <row r="36" spans="1:18" ht="15.75" customHeight="1">
      <c r="A36" s="84" t="s">
        <v>72</v>
      </c>
      <c r="B36" s="132">
        <v>26149</v>
      </c>
      <c r="C36" s="133">
        <v>128508928</v>
      </c>
      <c r="D36" s="132">
        <v>20759</v>
      </c>
      <c r="E36" s="133">
        <v>8711981</v>
      </c>
      <c r="F36" s="132">
        <v>46908</v>
      </c>
      <c r="G36" s="133">
        <v>137220909</v>
      </c>
      <c r="H36" s="132">
        <v>1907</v>
      </c>
      <c r="I36" s="134">
        <v>15161206</v>
      </c>
      <c r="J36" s="132">
        <v>3078</v>
      </c>
      <c r="K36" s="134">
        <v>472950</v>
      </c>
      <c r="L36" s="132">
        <v>49576</v>
      </c>
      <c r="M36" s="134">
        <v>122532654</v>
      </c>
      <c r="N36" s="132">
        <v>49059</v>
      </c>
      <c r="O36" s="146">
        <v>1259</v>
      </c>
      <c r="P36" s="146">
        <v>143</v>
      </c>
      <c r="Q36" s="147">
        <v>50461</v>
      </c>
      <c r="R36" s="85" t="s">
        <v>73</v>
      </c>
    </row>
    <row r="37" spans="1:18" ht="15.75" customHeight="1">
      <c r="A37" s="86"/>
      <c r="B37" s="135"/>
      <c r="C37" s="136"/>
      <c r="D37" s="135"/>
      <c r="E37" s="136"/>
      <c r="F37" s="137"/>
      <c r="G37" s="136"/>
      <c r="H37" s="137"/>
      <c r="I37" s="136"/>
      <c r="J37" s="137"/>
      <c r="K37" s="136"/>
      <c r="L37" s="137"/>
      <c r="M37" s="136"/>
      <c r="N37" s="148"/>
      <c r="O37" s="149"/>
      <c r="P37" s="149"/>
      <c r="Q37" s="150"/>
      <c r="R37" s="100" t="s">
        <v>135</v>
      </c>
    </row>
    <row r="38" spans="1:18" ht="15.75" customHeight="1">
      <c r="A38" s="79" t="s">
        <v>74</v>
      </c>
      <c r="B38" s="126">
        <f>_xlfn.COMPOUNDVALUE(605)</f>
        <v>8133</v>
      </c>
      <c r="C38" s="127">
        <v>33565649</v>
      </c>
      <c r="D38" s="126">
        <f>_xlfn.COMPOUNDVALUE(606)</f>
        <v>7086</v>
      </c>
      <c r="E38" s="127">
        <v>3093658</v>
      </c>
      <c r="F38" s="126">
        <f>_xlfn.COMPOUNDVALUE(607)</f>
        <v>15219</v>
      </c>
      <c r="G38" s="127">
        <v>36659307</v>
      </c>
      <c r="H38" s="126">
        <f>_xlfn.COMPOUNDVALUE(608)</f>
        <v>607</v>
      </c>
      <c r="I38" s="128">
        <v>2851087</v>
      </c>
      <c r="J38" s="126">
        <v>1256</v>
      </c>
      <c r="K38" s="128">
        <v>187374</v>
      </c>
      <c r="L38" s="126">
        <f>_xlfn.COMPOUNDVALUE(608)</f>
        <v>16255</v>
      </c>
      <c r="M38" s="128">
        <v>33995593</v>
      </c>
      <c r="N38" s="126">
        <v>16606</v>
      </c>
      <c r="O38" s="144">
        <v>350</v>
      </c>
      <c r="P38" s="144">
        <v>38</v>
      </c>
      <c r="Q38" s="145">
        <v>16994</v>
      </c>
      <c r="R38" s="83" t="s">
        <v>74</v>
      </c>
    </row>
    <row r="39" spans="1:18" ht="15.75" customHeight="1">
      <c r="A39" s="79" t="s">
        <v>75</v>
      </c>
      <c r="B39" s="126">
        <f>_xlfn.COMPOUNDVALUE(609)</f>
        <v>4019</v>
      </c>
      <c r="C39" s="127">
        <v>16132260</v>
      </c>
      <c r="D39" s="126">
        <f>_xlfn.COMPOUNDVALUE(610)</f>
        <v>3498</v>
      </c>
      <c r="E39" s="127">
        <v>1379328</v>
      </c>
      <c r="F39" s="126">
        <f>_xlfn.COMPOUNDVALUE(611)</f>
        <v>7517</v>
      </c>
      <c r="G39" s="127">
        <v>17511588</v>
      </c>
      <c r="H39" s="126">
        <f>_xlfn.COMPOUNDVALUE(612)</f>
        <v>288</v>
      </c>
      <c r="I39" s="128">
        <v>698453</v>
      </c>
      <c r="J39" s="126">
        <v>532</v>
      </c>
      <c r="K39" s="128">
        <v>77840</v>
      </c>
      <c r="L39" s="126">
        <f>_xlfn.COMPOUNDVALUE(612)</f>
        <v>7986</v>
      </c>
      <c r="M39" s="128">
        <v>16890975</v>
      </c>
      <c r="N39" s="126">
        <v>7983</v>
      </c>
      <c r="O39" s="144">
        <v>202</v>
      </c>
      <c r="P39" s="144">
        <v>26</v>
      </c>
      <c r="Q39" s="145">
        <v>8211</v>
      </c>
      <c r="R39" s="83" t="s">
        <v>75</v>
      </c>
    </row>
    <row r="40" spans="1:18" ht="15.75" customHeight="1">
      <c r="A40" s="79" t="s">
        <v>76</v>
      </c>
      <c r="B40" s="126">
        <f>_xlfn.COMPOUNDVALUE(613)</f>
        <v>8683</v>
      </c>
      <c r="C40" s="127">
        <v>29479067</v>
      </c>
      <c r="D40" s="126">
        <f>_xlfn.COMPOUNDVALUE(614)</f>
        <v>6937</v>
      </c>
      <c r="E40" s="127">
        <v>3030134</v>
      </c>
      <c r="F40" s="126">
        <f>_xlfn.COMPOUNDVALUE(615)</f>
        <v>15620</v>
      </c>
      <c r="G40" s="127">
        <v>32509201</v>
      </c>
      <c r="H40" s="126">
        <f>_xlfn.COMPOUNDVALUE(616)</f>
        <v>583</v>
      </c>
      <c r="I40" s="128">
        <v>1915795</v>
      </c>
      <c r="J40" s="126">
        <v>960</v>
      </c>
      <c r="K40" s="128">
        <v>108136</v>
      </c>
      <c r="L40" s="126">
        <f>_xlfn.COMPOUNDVALUE(616)</f>
        <v>16466</v>
      </c>
      <c r="M40" s="128">
        <v>30701542</v>
      </c>
      <c r="N40" s="126">
        <v>17012</v>
      </c>
      <c r="O40" s="144">
        <v>348</v>
      </c>
      <c r="P40" s="144">
        <v>36</v>
      </c>
      <c r="Q40" s="145">
        <v>17396</v>
      </c>
      <c r="R40" s="83" t="s">
        <v>76</v>
      </c>
    </row>
    <row r="41" spans="1:18" ht="15.75" customHeight="1">
      <c r="A41" s="79" t="s">
        <v>77</v>
      </c>
      <c r="B41" s="126">
        <f>_xlfn.COMPOUNDVALUE(617)</f>
        <v>4394</v>
      </c>
      <c r="C41" s="127">
        <v>19366956</v>
      </c>
      <c r="D41" s="126">
        <f>_xlfn.COMPOUNDVALUE(618)</f>
        <v>3485</v>
      </c>
      <c r="E41" s="127">
        <v>1610651</v>
      </c>
      <c r="F41" s="126">
        <f>_xlfn.COMPOUNDVALUE(619)</f>
        <v>7879</v>
      </c>
      <c r="G41" s="127">
        <v>20977607</v>
      </c>
      <c r="H41" s="126">
        <f>_xlfn.COMPOUNDVALUE(620)</f>
        <v>378</v>
      </c>
      <c r="I41" s="128">
        <v>753939</v>
      </c>
      <c r="J41" s="126">
        <v>570</v>
      </c>
      <c r="K41" s="128">
        <v>116991</v>
      </c>
      <c r="L41" s="126">
        <f>_xlfn.COMPOUNDVALUE(620)</f>
        <v>8436</v>
      </c>
      <c r="M41" s="128">
        <v>20340659</v>
      </c>
      <c r="N41" s="126">
        <v>8487</v>
      </c>
      <c r="O41" s="144">
        <v>217</v>
      </c>
      <c r="P41" s="144">
        <v>35</v>
      </c>
      <c r="Q41" s="145">
        <v>8739</v>
      </c>
      <c r="R41" s="83" t="s">
        <v>77</v>
      </c>
    </row>
    <row r="42" spans="1:18" ht="15.75" customHeight="1">
      <c r="A42" s="79" t="s">
        <v>78</v>
      </c>
      <c r="B42" s="126">
        <f>_xlfn.COMPOUNDVALUE(621)</f>
        <v>6206</v>
      </c>
      <c r="C42" s="127">
        <v>44094469</v>
      </c>
      <c r="D42" s="126">
        <f>_xlfn.COMPOUNDVALUE(622)</f>
        <v>5107</v>
      </c>
      <c r="E42" s="127">
        <v>2451101</v>
      </c>
      <c r="F42" s="126">
        <f>_xlfn.COMPOUNDVALUE(623)</f>
        <v>11313</v>
      </c>
      <c r="G42" s="127">
        <v>46545569</v>
      </c>
      <c r="H42" s="126">
        <f>_xlfn.COMPOUNDVALUE(624)</f>
        <v>541</v>
      </c>
      <c r="I42" s="128">
        <v>3655812</v>
      </c>
      <c r="J42" s="126">
        <v>799</v>
      </c>
      <c r="K42" s="128">
        <v>57455</v>
      </c>
      <c r="L42" s="126">
        <f>_xlfn.COMPOUNDVALUE(624)</f>
        <v>12030</v>
      </c>
      <c r="M42" s="128">
        <v>42947212</v>
      </c>
      <c r="N42" s="126">
        <v>12031</v>
      </c>
      <c r="O42" s="144">
        <v>359</v>
      </c>
      <c r="P42" s="144">
        <v>38</v>
      </c>
      <c r="Q42" s="145">
        <v>12428</v>
      </c>
      <c r="R42" s="83" t="s">
        <v>78</v>
      </c>
    </row>
    <row r="43" spans="1:18" ht="15.75" customHeight="1">
      <c r="A43" s="79" t="s">
        <v>79</v>
      </c>
      <c r="B43" s="126">
        <f>_xlfn.COMPOUNDVALUE(625)</f>
        <v>5667</v>
      </c>
      <c r="C43" s="127">
        <v>37067948</v>
      </c>
      <c r="D43" s="126">
        <f>_xlfn.COMPOUNDVALUE(626)</f>
        <v>4101</v>
      </c>
      <c r="E43" s="127">
        <v>1920538</v>
      </c>
      <c r="F43" s="126">
        <f>_xlfn.COMPOUNDVALUE(627)</f>
        <v>9768</v>
      </c>
      <c r="G43" s="127">
        <v>38988485</v>
      </c>
      <c r="H43" s="126">
        <f>_xlfn.COMPOUNDVALUE(628)</f>
        <v>480</v>
      </c>
      <c r="I43" s="128">
        <v>2775604</v>
      </c>
      <c r="J43" s="126">
        <v>746</v>
      </c>
      <c r="K43" s="128">
        <v>120647</v>
      </c>
      <c r="L43" s="126">
        <f>_xlfn.COMPOUNDVALUE(628)</f>
        <v>10491</v>
      </c>
      <c r="M43" s="128">
        <v>36333528</v>
      </c>
      <c r="N43" s="126">
        <v>10068</v>
      </c>
      <c r="O43" s="144">
        <v>284</v>
      </c>
      <c r="P43" s="144">
        <v>45</v>
      </c>
      <c r="Q43" s="145">
        <v>10397</v>
      </c>
      <c r="R43" s="83" t="s">
        <v>79</v>
      </c>
    </row>
    <row r="44" spans="1:18" ht="15.75" customHeight="1">
      <c r="A44" s="79" t="s">
        <v>80</v>
      </c>
      <c r="B44" s="126">
        <f>_xlfn.COMPOUNDVALUE(629)</f>
        <v>2633</v>
      </c>
      <c r="C44" s="127">
        <v>10029352</v>
      </c>
      <c r="D44" s="126">
        <f>_xlfn.COMPOUNDVALUE(630)</f>
        <v>2175</v>
      </c>
      <c r="E44" s="127">
        <v>844225</v>
      </c>
      <c r="F44" s="126">
        <f>_xlfn.COMPOUNDVALUE(631)</f>
        <v>4808</v>
      </c>
      <c r="G44" s="127">
        <v>10873578</v>
      </c>
      <c r="H44" s="126">
        <f>_xlfn.COMPOUNDVALUE(632)</f>
        <v>226</v>
      </c>
      <c r="I44" s="128">
        <v>1881206</v>
      </c>
      <c r="J44" s="126">
        <v>413</v>
      </c>
      <c r="K44" s="128">
        <v>53503</v>
      </c>
      <c r="L44" s="126">
        <f>_xlfn.COMPOUNDVALUE(632)</f>
        <v>5187</v>
      </c>
      <c r="M44" s="128">
        <v>9045875</v>
      </c>
      <c r="N44" s="126">
        <v>4873</v>
      </c>
      <c r="O44" s="144">
        <v>137</v>
      </c>
      <c r="P44" s="144">
        <v>13</v>
      </c>
      <c r="Q44" s="145">
        <v>5023</v>
      </c>
      <c r="R44" s="83" t="s">
        <v>80</v>
      </c>
    </row>
    <row r="45" spans="1:18" ht="15.75" customHeight="1">
      <c r="A45" s="79" t="s">
        <v>81</v>
      </c>
      <c r="B45" s="126">
        <f>_xlfn.COMPOUNDVALUE(633)</f>
        <v>1261</v>
      </c>
      <c r="C45" s="127">
        <v>4934655</v>
      </c>
      <c r="D45" s="126">
        <f>_xlfn.COMPOUNDVALUE(634)</f>
        <v>1134</v>
      </c>
      <c r="E45" s="127">
        <v>539358</v>
      </c>
      <c r="F45" s="126">
        <f>_xlfn.COMPOUNDVALUE(635)</f>
        <v>2395</v>
      </c>
      <c r="G45" s="127">
        <v>5474013</v>
      </c>
      <c r="H45" s="126">
        <f>_xlfn.COMPOUNDVALUE(636)</f>
        <v>76</v>
      </c>
      <c r="I45" s="128">
        <v>52620</v>
      </c>
      <c r="J45" s="126">
        <v>180</v>
      </c>
      <c r="K45" s="128">
        <v>15757</v>
      </c>
      <c r="L45" s="126">
        <f>_xlfn.COMPOUNDVALUE(636)</f>
        <v>2510</v>
      </c>
      <c r="M45" s="128">
        <v>5437150</v>
      </c>
      <c r="N45" s="126">
        <v>2434</v>
      </c>
      <c r="O45" s="144">
        <v>44</v>
      </c>
      <c r="P45" s="144">
        <v>6</v>
      </c>
      <c r="Q45" s="145">
        <v>2484</v>
      </c>
      <c r="R45" s="83" t="s">
        <v>81</v>
      </c>
    </row>
    <row r="46" spans="1:18" ht="15.75" customHeight="1">
      <c r="A46" s="82" t="s">
        <v>82</v>
      </c>
      <c r="B46" s="129">
        <f>_xlfn.COMPOUNDVALUE(637)</f>
        <v>6555</v>
      </c>
      <c r="C46" s="130">
        <v>23587490</v>
      </c>
      <c r="D46" s="129">
        <f>_xlfn.COMPOUNDVALUE(638)</f>
        <v>5958</v>
      </c>
      <c r="E46" s="130">
        <v>2548370</v>
      </c>
      <c r="F46" s="129">
        <f>_xlfn.COMPOUNDVALUE(639)</f>
        <v>12513</v>
      </c>
      <c r="G46" s="130">
        <v>26135860</v>
      </c>
      <c r="H46" s="129">
        <f>_xlfn.COMPOUNDVALUE(640)</f>
        <v>427</v>
      </c>
      <c r="I46" s="131">
        <v>2009645</v>
      </c>
      <c r="J46" s="129">
        <v>869</v>
      </c>
      <c r="K46" s="131">
        <v>121112</v>
      </c>
      <c r="L46" s="129">
        <f>_xlfn.COMPOUNDVALUE(640)</f>
        <v>13240</v>
      </c>
      <c r="M46" s="131">
        <v>24247328</v>
      </c>
      <c r="N46" s="126">
        <v>13108</v>
      </c>
      <c r="O46" s="144">
        <v>293</v>
      </c>
      <c r="P46" s="144">
        <v>24</v>
      </c>
      <c r="Q46" s="145">
        <v>13425</v>
      </c>
      <c r="R46" s="83" t="s">
        <v>82</v>
      </c>
    </row>
    <row r="47" spans="1:18" ht="15.75" customHeight="1">
      <c r="A47" s="82" t="s">
        <v>83</v>
      </c>
      <c r="B47" s="129">
        <f>_xlfn.COMPOUNDVALUE(641)</f>
        <v>1447</v>
      </c>
      <c r="C47" s="130">
        <v>9412576</v>
      </c>
      <c r="D47" s="129">
        <f>_xlfn.COMPOUNDVALUE(642)</f>
        <v>1262</v>
      </c>
      <c r="E47" s="130">
        <v>483093</v>
      </c>
      <c r="F47" s="129">
        <f>_xlfn.COMPOUNDVALUE(643)</f>
        <v>2709</v>
      </c>
      <c r="G47" s="130">
        <v>9895669</v>
      </c>
      <c r="H47" s="129">
        <f>_xlfn.COMPOUNDVALUE(644)</f>
        <v>151</v>
      </c>
      <c r="I47" s="131">
        <v>579897</v>
      </c>
      <c r="J47" s="129">
        <v>188</v>
      </c>
      <c r="K47" s="131">
        <v>57062</v>
      </c>
      <c r="L47" s="129">
        <f>_xlfn.COMPOUNDVALUE(644)</f>
        <v>2928</v>
      </c>
      <c r="M47" s="131">
        <v>9372834</v>
      </c>
      <c r="N47" s="126">
        <v>2897</v>
      </c>
      <c r="O47" s="144">
        <v>95</v>
      </c>
      <c r="P47" s="144">
        <v>7</v>
      </c>
      <c r="Q47" s="145">
        <v>2999</v>
      </c>
      <c r="R47" s="83" t="s">
        <v>83</v>
      </c>
    </row>
    <row r="48" spans="1:18" ht="15.75" customHeight="1">
      <c r="A48" s="82" t="s">
        <v>84</v>
      </c>
      <c r="B48" s="129">
        <f>_xlfn.COMPOUNDVALUE(645)</f>
        <v>2266</v>
      </c>
      <c r="C48" s="130">
        <v>9689603</v>
      </c>
      <c r="D48" s="129">
        <f>_xlfn.COMPOUNDVALUE(646)</f>
        <v>1832</v>
      </c>
      <c r="E48" s="130">
        <v>743263</v>
      </c>
      <c r="F48" s="129">
        <f>_xlfn.COMPOUNDVALUE(647)</f>
        <v>4098</v>
      </c>
      <c r="G48" s="130">
        <v>10432866</v>
      </c>
      <c r="H48" s="129">
        <f>_xlfn.COMPOUNDVALUE(648)</f>
        <v>193</v>
      </c>
      <c r="I48" s="131">
        <v>1030525</v>
      </c>
      <c r="J48" s="129">
        <v>315</v>
      </c>
      <c r="K48" s="131">
        <v>41710</v>
      </c>
      <c r="L48" s="129">
        <f>_xlfn.COMPOUNDVALUE(648)</f>
        <v>4395</v>
      </c>
      <c r="M48" s="131">
        <v>9444051</v>
      </c>
      <c r="N48" s="126">
        <v>4435</v>
      </c>
      <c r="O48" s="144">
        <v>118</v>
      </c>
      <c r="P48" s="144">
        <v>11</v>
      </c>
      <c r="Q48" s="145">
        <v>4564</v>
      </c>
      <c r="R48" s="83" t="s">
        <v>84</v>
      </c>
    </row>
    <row r="49" spans="1:18" ht="15.75" customHeight="1">
      <c r="A49" s="82" t="s">
        <v>85</v>
      </c>
      <c r="B49" s="129">
        <f>_xlfn.COMPOUNDVALUE(649)</f>
        <v>6977</v>
      </c>
      <c r="C49" s="130">
        <v>21587177</v>
      </c>
      <c r="D49" s="129">
        <f>_xlfn.COMPOUNDVALUE(650)</f>
        <v>5838</v>
      </c>
      <c r="E49" s="130">
        <v>2422639</v>
      </c>
      <c r="F49" s="129">
        <f>_xlfn.COMPOUNDVALUE(651)</f>
        <v>12815</v>
      </c>
      <c r="G49" s="130">
        <v>24009816</v>
      </c>
      <c r="H49" s="129">
        <f>_xlfn.COMPOUNDVALUE(652)</f>
        <v>631</v>
      </c>
      <c r="I49" s="131">
        <v>3696374</v>
      </c>
      <c r="J49" s="129">
        <v>1030</v>
      </c>
      <c r="K49" s="131">
        <v>126069</v>
      </c>
      <c r="L49" s="129">
        <f>_xlfn.COMPOUNDVALUE(652)</f>
        <v>13890</v>
      </c>
      <c r="M49" s="131">
        <v>20439512</v>
      </c>
      <c r="N49" s="126">
        <v>13484</v>
      </c>
      <c r="O49" s="144">
        <v>384</v>
      </c>
      <c r="P49" s="144">
        <v>38</v>
      </c>
      <c r="Q49" s="145">
        <v>13906</v>
      </c>
      <c r="R49" s="83" t="s">
        <v>85</v>
      </c>
    </row>
    <row r="50" spans="1:18" ht="15.75" customHeight="1">
      <c r="A50" s="82" t="s">
        <v>86</v>
      </c>
      <c r="B50" s="129">
        <f>_xlfn.COMPOUNDVALUE(653)</f>
        <v>4431</v>
      </c>
      <c r="C50" s="130">
        <v>19174812</v>
      </c>
      <c r="D50" s="129">
        <f>_xlfn.COMPOUNDVALUE(654)</f>
        <v>3846</v>
      </c>
      <c r="E50" s="130">
        <v>1636832</v>
      </c>
      <c r="F50" s="129">
        <f>_xlfn.COMPOUNDVALUE(655)</f>
        <v>8277</v>
      </c>
      <c r="G50" s="130">
        <v>20811644</v>
      </c>
      <c r="H50" s="129">
        <f>_xlfn.COMPOUNDVALUE(656)</f>
        <v>294</v>
      </c>
      <c r="I50" s="131">
        <v>891876</v>
      </c>
      <c r="J50" s="129">
        <v>698</v>
      </c>
      <c r="K50" s="131">
        <v>73716</v>
      </c>
      <c r="L50" s="129">
        <f>_xlfn.COMPOUNDVALUE(656)</f>
        <v>8759</v>
      </c>
      <c r="M50" s="131">
        <v>19993484</v>
      </c>
      <c r="N50" s="126">
        <v>8698</v>
      </c>
      <c r="O50" s="144">
        <v>204</v>
      </c>
      <c r="P50" s="144">
        <v>18</v>
      </c>
      <c r="Q50" s="145">
        <v>8920</v>
      </c>
      <c r="R50" s="83" t="s">
        <v>86</v>
      </c>
    </row>
    <row r="51" spans="1:18" ht="15.75" customHeight="1">
      <c r="A51" s="82" t="s">
        <v>87</v>
      </c>
      <c r="B51" s="129">
        <f>_xlfn.COMPOUNDVALUE(657)</f>
        <v>7961</v>
      </c>
      <c r="C51" s="130">
        <v>26969799</v>
      </c>
      <c r="D51" s="129">
        <f>_xlfn.COMPOUNDVALUE(658)</f>
        <v>6272</v>
      </c>
      <c r="E51" s="130">
        <v>2661818</v>
      </c>
      <c r="F51" s="129">
        <f>_xlfn.COMPOUNDVALUE(659)</f>
        <v>14233</v>
      </c>
      <c r="G51" s="130">
        <v>29631617</v>
      </c>
      <c r="H51" s="129">
        <f>_xlfn.COMPOUNDVALUE(660)</f>
        <v>614</v>
      </c>
      <c r="I51" s="131">
        <v>2369905</v>
      </c>
      <c r="J51" s="129">
        <v>1055</v>
      </c>
      <c r="K51" s="131">
        <v>125287</v>
      </c>
      <c r="L51" s="129">
        <f>_xlfn.COMPOUNDVALUE(660)</f>
        <v>15087</v>
      </c>
      <c r="M51" s="131">
        <v>27386999</v>
      </c>
      <c r="N51" s="126">
        <v>15373</v>
      </c>
      <c r="O51" s="144">
        <v>371</v>
      </c>
      <c r="P51" s="144">
        <v>49</v>
      </c>
      <c r="Q51" s="145">
        <v>15793</v>
      </c>
      <c r="R51" s="83" t="s">
        <v>87</v>
      </c>
    </row>
    <row r="52" spans="1:18" ht="15.75" customHeight="1">
      <c r="A52" s="82" t="s">
        <v>88</v>
      </c>
      <c r="B52" s="129">
        <f>_xlfn.COMPOUNDVALUE(661)</f>
        <v>4594</v>
      </c>
      <c r="C52" s="130">
        <v>34045884</v>
      </c>
      <c r="D52" s="129">
        <f>_xlfn.COMPOUNDVALUE(662)</f>
        <v>4003</v>
      </c>
      <c r="E52" s="130">
        <v>1761523</v>
      </c>
      <c r="F52" s="129">
        <f>_xlfn.COMPOUNDVALUE(663)</f>
        <v>8597</v>
      </c>
      <c r="G52" s="130">
        <v>35807407</v>
      </c>
      <c r="H52" s="129">
        <f>_xlfn.COMPOUNDVALUE(664)</f>
        <v>346</v>
      </c>
      <c r="I52" s="131">
        <v>2903810</v>
      </c>
      <c r="J52" s="129">
        <v>743</v>
      </c>
      <c r="K52" s="131">
        <v>25543</v>
      </c>
      <c r="L52" s="129">
        <f>_xlfn.COMPOUNDVALUE(664)</f>
        <v>9150</v>
      </c>
      <c r="M52" s="131">
        <v>32929140</v>
      </c>
      <c r="N52" s="126">
        <v>9277</v>
      </c>
      <c r="O52" s="144">
        <v>254</v>
      </c>
      <c r="P52" s="144">
        <v>22</v>
      </c>
      <c r="Q52" s="145">
        <v>9553</v>
      </c>
      <c r="R52" s="83" t="s">
        <v>88</v>
      </c>
    </row>
    <row r="53" spans="1:18" ht="15.75" customHeight="1">
      <c r="A53" s="84" t="s">
        <v>89</v>
      </c>
      <c r="B53" s="132">
        <v>75227</v>
      </c>
      <c r="C53" s="133">
        <v>339137696</v>
      </c>
      <c r="D53" s="132">
        <v>62534</v>
      </c>
      <c r="E53" s="133">
        <v>27126532</v>
      </c>
      <c r="F53" s="132">
        <v>137761</v>
      </c>
      <c r="G53" s="133">
        <v>366264228</v>
      </c>
      <c r="H53" s="132">
        <v>5835</v>
      </c>
      <c r="I53" s="134">
        <v>28066548</v>
      </c>
      <c r="J53" s="132">
        <v>10354</v>
      </c>
      <c r="K53" s="134">
        <v>1308201</v>
      </c>
      <c r="L53" s="132">
        <v>146810</v>
      </c>
      <c r="M53" s="134">
        <v>339505880</v>
      </c>
      <c r="N53" s="132">
        <v>146766</v>
      </c>
      <c r="O53" s="146">
        <v>3660</v>
      </c>
      <c r="P53" s="146">
        <v>406</v>
      </c>
      <c r="Q53" s="147">
        <v>150832</v>
      </c>
      <c r="R53" s="85" t="s">
        <v>90</v>
      </c>
    </row>
    <row r="54" spans="1:18" ht="15.75" customHeight="1">
      <c r="A54" s="86"/>
      <c r="B54" s="135"/>
      <c r="C54" s="136"/>
      <c r="D54" s="135"/>
      <c r="E54" s="136"/>
      <c r="F54" s="137"/>
      <c r="G54" s="136"/>
      <c r="H54" s="137"/>
      <c r="I54" s="136"/>
      <c r="J54" s="137"/>
      <c r="K54" s="136"/>
      <c r="L54" s="137"/>
      <c r="M54" s="136"/>
      <c r="N54" s="148"/>
      <c r="O54" s="149"/>
      <c r="P54" s="149"/>
      <c r="Q54" s="150"/>
      <c r="R54" s="100" t="s">
        <v>135</v>
      </c>
    </row>
    <row r="55" spans="1:18" ht="15.75" customHeight="1">
      <c r="A55" s="79" t="s">
        <v>91</v>
      </c>
      <c r="B55" s="126">
        <f>_xlfn.COMPOUNDVALUE(665)</f>
        <v>8408</v>
      </c>
      <c r="C55" s="127">
        <v>58010672</v>
      </c>
      <c r="D55" s="126">
        <f>_xlfn.COMPOUNDVALUE(666)</f>
        <v>5931</v>
      </c>
      <c r="E55" s="127">
        <v>2525665</v>
      </c>
      <c r="F55" s="126">
        <f>_xlfn.COMPOUNDVALUE(667)</f>
        <v>14339</v>
      </c>
      <c r="G55" s="127">
        <v>60536337</v>
      </c>
      <c r="H55" s="126">
        <f>_xlfn.COMPOUNDVALUE(668)</f>
        <v>579</v>
      </c>
      <c r="I55" s="128">
        <v>2284362</v>
      </c>
      <c r="J55" s="126">
        <v>1114</v>
      </c>
      <c r="K55" s="128">
        <v>154811</v>
      </c>
      <c r="L55" s="126">
        <f>_xlfn.COMPOUNDVALUE(668)</f>
        <v>15186</v>
      </c>
      <c r="M55" s="128">
        <v>58406786</v>
      </c>
      <c r="N55" s="126">
        <v>14768</v>
      </c>
      <c r="O55" s="144">
        <v>384</v>
      </c>
      <c r="P55" s="144">
        <v>57</v>
      </c>
      <c r="Q55" s="145">
        <v>15209</v>
      </c>
      <c r="R55" s="83" t="s">
        <v>91</v>
      </c>
    </row>
    <row r="56" spans="1:18" ht="15.75" customHeight="1">
      <c r="A56" s="79" t="s">
        <v>92</v>
      </c>
      <c r="B56" s="126">
        <f>_xlfn.COMPOUNDVALUE(669)</f>
        <v>1395</v>
      </c>
      <c r="C56" s="127">
        <v>3858999</v>
      </c>
      <c r="D56" s="126">
        <f>_xlfn.COMPOUNDVALUE(670)</f>
        <v>1149</v>
      </c>
      <c r="E56" s="127">
        <v>444990</v>
      </c>
      <c r="F56" s="126">
        <f>_xlfn.COMPOUNDVALUE(671)</f>
        <v>2544</v>
      </c>
      <c r="G56" s="127">
        <v>4303989</v>
      </c>
      <c r="H56" s="126">
        <f>_xlfn.COMPOUNDVALUE(672)</f>
        <v>58</v>
      </c>
      <c r="I56" s="128">
        <v>114338</v>
      </c>
      <c r="J56" s="126">
        <v>191</v>
      </c>
      <c r="K56" s="128">
        <v>46752</v>
      </c>
      <c r="L56" s="126">
        <f>_xlfn.COMPOUNDVALUE(672)</f>
        <v>2645</v>
      </c>
      <c r="M56" s="128">
        <v>4236403</v>
      </c>
      <c r="N56" s="126">
        <v>2581</v>
      </c>
      <c r="O56" s="144">
        <v>28</v>
      </c>
      <c r="P56" s="144">
        <v>2</v>
      </c>
      <c r="Q56" s="145">
        <v>2611</v>
      </c>
      <c r="R56" s="83" t="s">
        <v>92</v>
      </c>
    </row>
    <row r="57" spans="1:18" ht="15.75" customHeight="1">
      <c r="A57" s="79" t="s">
        <v>93</v>
      </c>
      <c r="B57" s="126">
        <f>_xlfn.COMPOUNDVALUE(673)</f>
        <v>2424</v>
      </c>
      <c r="C57" s="127">
        <v>9031991</v>
      </c>
      <c r="D57" s="126">
        <f>_xlfn.COMPOUNDVALUE(674)</f>
        <v>1842</v>
      </c>
      <c r="E57" s="127">
        <v>694737</v>
      </c>
      <c r="F57" s="126">
        <f>_xlfn.COMPOUNDVALUE(675)</f>
        <v>4266</v>
      </c>
      <c r="G57" s="127">
        <v>9726728</v>
      </c>
      <c r="H57" s="126">
        <f>_xlfn.COMPOUNDVALUE(676)</f>
        <v>149</v>
      </c>
      <c r="I57" s="128">
        <v>747284</v>
      </c>
      <c r="J57" s="126">
        <v>191</v>
      </c>
      <c r="K57" s="128">
        <v>20580</v>
      </c>
      <c r="L57" s="126">
        <f>_xlfn.COMPOUNDVALUE(676)</f>
        <v>4452</v>
      </c>
      <c r="M57" s="128">
        <v>9000025</v>
      </c>
      <c r="N57" s="126">
        <v>4262</v>
      </c>
      <c r="O57" s="144">
        <v>84</v>
      </c>
      <c r="P57" s="144">
        <v>9</v>
      </c>
      <c r="Q57" s="145">
        <v>4355</v>
      </c>
      <c r="R57" s="83" t="s">
        <v>93</v>
      </c>
    </row>
    <row r="58" spans="1:18" ht="15.75" customHeight="1">
      <c r="A58" s="79" t="s">
        <v>94</v>
      </c>
      <c r="B58" s="126">
        <f>_xlfn.COMPOUNDVALUE(677)</f>
        <v>3672</v>
      </c>
      <c r="C58" s="127">
        <v>19423708</v>
      </c>
      <c r="D58" s="126">
        <f>_xlfn.COMPOUNDVALUE(678)</f>
        <v>2614</v>
      </c>
      <c r="E58" s="127">
        <v>1065781</v>
      </c>
      <c r="F58" s="126">
        <f>_xlfn.COMPOUNDVALUE(679)</f>
        <v>6286</v>
      </c>
      <c r="G58" s="127">
        <v>20489489</v>
      </c>
      <c r="H58" s="126">
        <f>_xlfn.COMPOUNDVALUE(680)</f>
        <v>178</v>
      </c>
      <c r="I58" s="128">
        <v>2440355</v>
      </c>
      <c r="J58" s="126">
        <v>337</v>
      </c>
      <c r="K58" s="128">
        <v>27542</v>
      </c>
      <c r="L58" s="126">
        <f>_xlfn.COMPOUNDVALUE(680)</f>
        <v>6506</v>
      </c>
      <c r="M58" s="128">
        <v>18076676</v>
      </c>
      <c r="N58" s="126">
        <v>6356</v>
      </c>
      <c r="O58" s="144">
        <v>92</v>
      </c>
      <c r="P58" s="144">
        <v>12</v>
      </c>
      <c r="Q58" s="145">
        <v>6460</v>
      </c>
      <c r="R58" s="83" t="s">
        <v>94</v>
      </c>
    </row>
    <row r="59" spans="1:18" ht="15.75" customHeight="1">
      <c r="A59" s="79" t="s">
        <v>95</v>
      </c>
      <c r="B59" s="126">
        <f>_xlfn.COMPOUNDVALUE(681)</f>
        <v>2803</v>
      </c>
      <c r="C59" s="127">
        <v>14096519</v>
      </c>
      <c r="D59" s="126">
        <f>_xlfn.COMPOUNDVALUE(682)</f>
        <v>1978</v>
      </c>
      <c r="E59" s="127">
        <v>748653</v>
      </c>
      <c r="F59" s="126">
        <f>_xlfn.COMPOUNDVALUE(683)</f>
        <v>4781</v>
      </c>
      <c r="G59" s="127">
        <v>14845172</v>
      </c>
      <c r="H59" s="126">
        <f>_xlfn.COMPOUNDVALUE(684)</f>
        <v>129</v>
      </c>
      <c r="I59" s="128">
        <v>1520374</v>
      </c>
      <c r="J59" s="126">
        <v>291</v>
      </c>
      <c r="K59" s="128">
        <v>33554</v>
      </c>
      <c r="L59" s="126">
        <f>_xlfn.COMPOUNDVALUE(684)</f>
        <v>4964</v>
      </c>
      <c r="M59" s="128">
        <v>13358352</v>
      </c>
      <c r="N59" s="126">
        <v>4788</v>
      </c>
      <c r="O59" s="144">
        <v>72</v>
      </c>
      <c r="P59" s="144">
        <v>8</v>
      </c>
      <c r="Q59" s="145">
        <v>4868</v>
      </c>
      <c r="R59" s="83" t="s">
        <v>95</v>
      </c>
    </row>
    <row r="60" spans="1:18" ht="15.75" customHeight="1">
      <c r="A60" s="79" t="s">
        <v>96</v>
      </c>
      <c r="B60" s="126">
        <f>_xlfn.COMPOUNDVALUE(685)</f>
        <v>1055</v>
      </c>
      <c r="C60" s="127">
        <v>5503974</v>
      </c>
      <c r="D60" s="126">
        <f>_xlfn.COMPOUNDVALUE(686)</f>
        <v>793</v>
      </c>
      <c r="E60" s="127">
        <v>318641</v>
      </c>
      <c r="F60" s="126">
        <f>_xlfn.COMPOUNDVALUE(687)</f>
        <v>1848</v>
      </c>
      <c r="G60" s="127">
        <v>5822615</v>
      </c>
      <c r="H60" s="126">
        <f>_xlfn.COMPOUNDVALUE(688)</f>
        <v>52</v>
      </c>
      <c r="I60" s="128">
        <v>425047</v>
      </c>
      <c r="J60" s="126">
        <v>209</v>
      </c>
      <c r="K60" s="128">
        <v>29008</v>
      </c>
      <c r="L60" s="126">
        <f>_xlfn.COMPOUNDVALUE(688)</f>
        <v>1927</v>
      </c>
      <c r="M60" s="128">
        <v>5426575</v>
      </c>
      <c r="N60" s="126">
        <v>1846</v>
      </c>
      <c r="O60" s="144">
        <v>39</v>
      </c>
      <c r="P60" s="144">
        <v>1</v>
      </c>
      <c r="Q60" s="145">
        <v>1886</v>
      </c>
      <c r="R60" s="83" t="s">
        <v>96</v>
      </c>
    </row>
    <row r="61" spans="1:18" ht="15.75" customHeight="1">
      <c r="A61" s="82" t="s">
        <v>97</v>
      </c>
      <c r="B61" s="129">
        <f>_xlfn.COMPOUNDVALUE(689)</f>
        <v>2043</v>
      </c>
      <c r="C61" s="130">
        <v>8301802</v>
      </c>
      <c r="D61" s="129">
        <f>_xlfn.COMPOUNDVALUE(690)</f>
        <v>1954</v>
      </c>
      <c r="E61" s="130">
        <v>756909</v>
      </c>
      <c r="F61" s="129">
        <f>_xlfn.COMPOUNDVALUE(691)</f>
        <v>3997</v>
      </c>
      <c r="G61" s="130">
        <v>9058711</v>
      </c>
      <c r="H61" s="129">
        <f>_xlfn.COMPOUNDVALUE(692)</f>
        <v>169</v>
      </c>
      <c r="I61" s="131">
        <v>895486</v>
      </c>
      <c r="J61" s="129">
        <v>314</v>
      </c>
      <c r="K61" s="131">
        <v>23614</v>
      </c>
      <c r="L61" s="129">
        <f>_xlfn.COMPOUNDVALUE(692)</f>
        <v>4229</v>
      </c>
      <c r="M61" s="131">
        <v>8186840</v>
      </c>
      <c r="N61" s="126">
        <v>4011</v>
      </c>
      <c r="O61" s="144">
        <v>91</v>
      </c>
      <c r="P61" s="144">
        <v>8</v>
      </c>
      <c r="Q61" s="145">
        <v>4110</v>
      </c>
      <c r="R61" s="83" t="s">
        <v>97</v>
      </c>
    </row>
    <row r="62" spans="1:18" ht="15.75" customHeight="1">
      <c r="A62" s="82" t="s">
        <v>98</v>
      </c>
      <c r="B62" s="129">
        <f>_xlfn.COMPOUNDVALUE(693)</f>
        <v>2303</v>
      </c>
      <c r="C62" s="130">
        <v>7684633</v>
      </c>
      <c r="D62" s="129">
        <f>_xlfn.COMPOUNDVALUE(694)</f>
        <v>1810</v>
      </c>
      <c r="E62" s="130">
        <v>699133</v>
      </c>
      <c r="F62" s="129">
        <f>_xlfn.COMPOUNDVALUE(695)</f>
        <v>4113</v>
      </c>
      <c r="G62" s="130">
        <v>8383767</v>
      </c>
      <c r="H62" s="129">
        <f>_xlfn.COMPOUNDVALUE(696)</f>
        <v>100</v>
      </c>
      <c r="I62" s="131">
        <v>906200</v>
      </c>
      <c r="J62" s="129">
        <v>262</v>
      </c>
      <c r="K62" s="131">
        <v>34683</v>
      </c>
      <c r="L62" s="129">
        <f>_xlfn.COMPOUNDVALUE(696)</f>
        <v>4265</v>
      </c>
      <c r="M62" s="131">
        <v>7512250</v>
      </c>
      <c r="N62" s="126">
        <v>4013</v>
      </c>
      <c r="O62" s="144">
        <v>77</v>
      </c>
      <c r="P62" s="144">
        <v>9</v>
      </c>
      <c r="Q62" s="145">
        <v>4099</v>
      </c>
      <c r="R62" s="83" t="s">
        <v>98</v>
      </c>
    </row>
    <row r="63" spans="1:18" ht="15.75" customHeight="1">
      <c r="A63" s="82" t="s">
        <v>99</v>
      </c>
      <c r="B63" s="129">
        <f>_xlfn.COMPOUNDVALUE(697)</f>
        <v>980</v>
      </c>
      <c r="C63" s="130">
        <v>3094816</v>
      </c>
      <c r="D63" s="129">
        <f>_xlfn.COMPOUNDVALUE(698)</f>
        <v>858</v>
      </c>
      <c r="E63" s="130">
        <v>329804</v>
      </c>
      <c r="F63" s="129">
        <f>_xlfn.COMPOUNDVALUE(699)</f>
        <v>1838</v>
      </c>
      <c r="G63" s="130">
        <v>3424619</v>
      </c>
      <c r="H63" s="129">
        <f>_xlfn.COMPOUNDVALUE(700)</f>
        <v>41</v>
      </c>
      <c r="I63" s="131">
        <v>163067</v>
      </c>
      <c r="J63" s="129">
        <v>167</v>
      </c>
      <c r="K63" s="131">
        <v>11280</v>
      </c>
      <c r="L63" s="129">
        <f>_xlfn.COMPOUNDVALUE(700)</f>
        <v>1892</v>
      </c>
      <c r="M63" s="131">
        <v>3272832</v>
      </c>
      <c r="N63" s="126">
        <v>1790</v>
      </c>
      <c r="O63" s="144">
        <v>43</v>
      </c>
      <c r="P63" s="144">
        <v>4</v>
      </c>
      <c r="Q63" s="145">
        <v>1837</v>
      </c>
      <c r="R63" s="83" t="s">
        <v>99</v>
      </c>
    </row>
    <row r="64" spans="1:18" ht="15.75" customHeight="1">
      <c r="A64" s="82" t="s">
        <v>100</v>
      </c>
      <c r="B64" s="129">
        <f>_xlfn.COMPOUNDVALUE(701)</f>
        <v>842</v>
      </c>
      <c r="C64" s="130">
        <v>2390472</v>
      </c>
      <c r="D64" s="129">
        <f>_xlfn.COMPOUNDVALUE(702)</f>
        <v>734</v>
      </c>
      <c r="E64" s="130">
        <v>278376</v>
      </c>
      <c r="F64" s="129">
        <f>_xlfn.COMPOUNDVALUE(703)</f>
        <v>1576</v>
      </c>
      <c r="G64" s="130">
        <v>2668848</v>
      </c>
      <c r="H64" s="129">
        <f>_xlfn.COMPOUNDVALUE(704)</f>
        <v>49</v>
      </c>
      <c r="I64" s="131">
        <v>81480</v>
      </c>
      <c r="J64" s="129">
        <v>163</v>
      </c>
      <c r="K64" s="131">
        <v>6995</v>
      </c>
      <c r="L64" s="129">
        <f>_xlfn.COMPOUNDVALUE(704)</f>
        <v>1648</v>
      </c>
      <c r="M64" s="131">
        <v>2594363</v>
      </c>
      <c r="N64" s="126">
        <v>1564</v>
      </c>
      <c r="O64" s="144">
        <v>42</v>
      </c>
      <c r="P64" s="144" t="s">
        <v>167</v>
      </c>
      <c r="Q64" s="145">
        <v>1606</v>
      </c>
      <c r="R64" s="83" t="s">
        <v>100</v>
      </c>
    </row>
    <row r="65" spans="1:18" ht="15.75" customHeight="1">
      <c r="A65" s="82" t="s">
        <v>101</v>
      </c>
      <c r="B65" s="129">
        <f>_xlfn.COMPOUNDVALUE(705)</f>
        <v>532</v>
      </c>
      <c r="C65" s="130">
        <v>2283005</v>
      </c>
      <c r="D65" s="129">
        <f>_xlfn.COMPOUNDVALUE(706)</f>
        <v>464</v>
      </c>
      <c r="E65" s="130">
        <v>179203</v>
      </c>
      <c r="F65" s="129">
        <f>_xlfn.COMPOUNDVALUE(707)</f>
        <v>996</v>
      </c>
      <c r="G65" s="130">
        <v>2462208</v>
      </c>
      <c r="H65" s="129">
        <f>_xlfn.COMPOUNDVALUE(708)</f>
        <v>38</v>
      </c>
      <c r="I65" s="131">
        <v>78978</v>
      </c>
      <c r="J65" s="129">
        <v>65</v>
      </c>
      <c r="K65" s="131">
        <v>2910</v>
      </c>
      <c r="L65" s="129">
        <f>_xlfn.COMPOUNDVALUE(708)</f>
        <v>1036</v>
      </c>
      <c r="M65" s="131">
        <v>2386140</v>
      </c>
      <c r="N65" s="126">
        <v>983</v>
      </c>
      <c r="O65" s="144">
        <v>34</v>
      </c>
      <c r="P65" s="144">
        <v>1</v>
      </c>
      <c r="Q65" s="145">
        <v>1018</v>
      </c>
      <c r="R65" s="83" t="s">
        <v>101</v>
      </c>
    </row>
    <row r="66" spans="1:18" ht="15.75" customHeight="1">
      <c r="A66" s="82" t="s">
        <v>102</v>
      </c>
      <c r="B66" s="129">
        <f>_xlfn.COMPOUNDVALUE(709)</f>
        <v>2790</v>
      </c>
      <c r="C66" s="130">
        <v>11313439</v>
      </c>
      <c r="D66" s="129">
        <f>_xlfn.COMPOUNDVALUE(710)</f>
        <v>2221</v>
      </c>
      <c r="E66" s="130">
        <v>877628</v>
      </c>
      <c r="F66" s="129">
        <f>_xlfn.COMPOUNDVALUE(711)</f>
        <v>5011</v>
      </c>
      <c r="G66" s="130">
        <v>12191067</v>
      </c>
      <c r="H66" s="129">
        <f>_xlfn.COMPOUNDVALUE(712)</f>
        <v>157</v>
      </c>
      <c r="I66" s="131">
        <v>1870427</v>
      </c>
      <c r="J66" s="129">
        <v>415</v>
      </c>
      <c r="K66" s="131">
        <v>60128</v>
      </c>
      <c r="L66" s="129">
        <f>_xlfn.COMPOUNDVALUE(712)</f>
        <v>5246</v>
      </c>
      <c r="M66" s="131">
        <v>10380768</v>
      </c>
      <c r="N66" s="126">
        <v>5021</v>
      </c>
      <c r="O66" s="144">
        <v>102</v>
      </c>
      <c r="P66" s="144">
        <v>9</v>
      </c>
      <c r="Q66" s="145">
        <v>5132</v>
      </c>
      <c r="R66" s="83" t="s">
        <v>102</v>
      </c>
    </row>
    <row r="67" spans="1:18" ht="15.75" customHeight="1">
      <c r="A67" s="82" t="s">
        <v>103</v>
      </c>
      <c r="B67" s="129">
        <f>_xlfn.COMPOUNDVALUE(713)</f>
        <v>756</v>
      </c>
      <c r="C67" s="130">
        <v>1929295</v>
      </c>
      <c r="D67" s="129">
        <f>_xlfn.COMPOUNDVALUE(714)</f>
        <v>609</v>
      </c>
      <c r="E67" s="130">
        <v>214542</v>
      </c>
      <c r="F67" s="129">
        <f>_xlfn.COMPOUNDVALUE(715)</f>
        <v>1365</v>
      </c>
      <c r="G67" s="130">
        <v>2143838</v>
      </c>
      <c r="H67" s="129">
        <f>_xlfn.COMPOUNDVALUE(716)</f>
        <v>27</v>
      </c>
      <c r="I67" s="131">
        <v>29294</v>
      </c>
      <c r="J67" s="129">
        <v>97</v>
      </c>
      <c r="K67" s="131">
        <v>5246</v>
      </c>
      <c r="L67" s="129">
        <f>_xlfn.COMPOUNDVALUE(716)</f>
        <v>1400</v>
      </c>
      <c r="M67" s="131">
        <v>2119790</v>
      </c>
      <c r="N67" s="126">
        <v>1356</v>
      </c>
      <c r="O67" s="144">
        <v>19</v>
      </c>
      <c r="P67" s="144" t="s">
        <v>168</v>
      </c>
      <c r="Q67" s="145">
        <v>1375</v>
      </c>
      <c r="R67" s="83" t="s">
        <v>104</v>
      </c>
    </row>
    <row r="68" spans="1:18" ht="15.75" customHeight="1">
      <c r="A68" s="84" t="s">
        <v>105</v>
      </c>
      <c r="B68" s="132">
        <v>30003</v>
      </c>
      <c r="C68" s="133">
        <v>146923325</v>
      </c>
      <c r="D68" s="132">
        <v>22957</v>
      </c>
      <c r="E68" s="133">
        <v>9134062</v>
      </c>
      <c r="F68" s="132">
        <v>52960</v>
      </c>
      <c r="G68" s="133">
        <v>156057387</v>
      </c>
      <c r="H68" s="132">
        <v>1726</v>
      </c>
      <c r="I68" s="134">
        <v>11556691</v>
      </c>
      <c r="J68" s="132">
        <v>3816</v>
      </c>
      <c r="K68" s="134">
        <v>457103</v>
      </c>
      <c r="L68" s="132">
        <v>55396</v>
      </c>
      <c r="M68" s="134">
        <v>144957799</v>
      </c>
      <c r="N68" s="132">
        <v>53339</v>
      </c>
      <c r="O68" s="146">
        <v>1107</v>
      </c>
      <c r="P68" s="146">
        <v>120</v>
      </c>
      <c r="Q68" s="147">
        <v>54566</v>
      </c>
      <c r="R68" s="85" t="s">
        <v>106</v>
      </c>
    </row>
    <row r="69" spans="1:18" ht="15.75" customHeight="1">
      <c r="A69" s="86"/>
      <c r="B69" s="135"/>
      <c r="C69" s="136"/>
      <c r="D69" s="135"/>
      <c r="E69" s="136"/>
      <c r="F69" s="137"/>
      <c r="G69" s="136"/>
      <c r="H69" s="137"/>
      <c r="I69" s="136"/>
      <c r="J69" s="137"/>
      <c r="K69" s="136"/>
      <c r="L69" s="137"/>
      <c r="M69" s="136"/>
      <c r="N69" s="148"/>
      <c r="O69" s="149"/>
      <c r="P69" s="149"/>
      <c r="Q69" s="150"/>
      <c r="R69" s="100" t="s">
        <v>135</v>
      </c>
    </row>
    <row r="70" spans="1:18" ht="15.75" customHeight="1">
      <c r="A70" s="79" t="s">
        <v>107</v>
      </c>
      <c r="B70" s="126">
        <f>_xlfn.COMPOUNDVALUE(717)</f>
        <v>5965</v>
      </c>
      <c r="C70" s="127">
        <v>34953208</v>
      </c>
      <c r="D70" s="126">
        <f>_xlfn.COMPOUNDVALUE(718)</f>
        <v>4189</v>
      </c>
      <c r="E70" s="127">
        <v>1757120</v>
      </c>
      <c r="F70" s="126">
        <f>_xlfn.COMPOUNDVALUE(719)</f>
        <v>10154</v>
      </c>
      <c r="G70" s="127">
        <v>36710327</v>
      </c>
      <c r="H70" s="126">
        <f>_xlfn.COMPOUNDVALUE(720)</f>
        <v>353</v>
      </c>
      <c r="I70" s="128">
        <v>8677155</v>
      </c>
      <c r="J70" s="126">
        <v>738</v>
      </c>
      <c r="K70" s="128">
        <v>152159</v>
      </c>
      <c r="L70" s="126">
        <f>_xlfn.COMPOUNDVALUE(720)</f>
        <v>10758</v>
      </c>
      <c r="M70" s="128">
        <v>28185332</v>
      </c>
      <c r="N70" s="126">
        <v>10684</v>
      </c>
      <c r="O70" s="144">
        <v>200</v>
      </c>
      <c r="P70" s="144">
        <v>28</v>
      </c>
      <c r="Q70" s="145">
        <v>10912</v>
      </c>
      <c r="R70" s="83" t="s">
        <v>107</v>
      </c>
    </row>
    <row r="71" spans="1:18" ht="15.75" customHeight="1">
      <c r="A71" s="79" t="s">
        <v>108</v>
      </c>
      <c r="B71" s="126">
        <f>_xlfn.COMPOUNDVALUE(721)</f>
        <v>5258</v>
      </c>
      <c r="C71" s="127">
        <v>23600751</v>
      </c>
      <c r="D71" s="126">
        <f>_xlfn.COMPOUNDVALUE(722)</f>
        <v>4210</v>
      </c>
      <c r="E71" s="127">
        <v>1722985</v>
      </c>
      <c r="F71" s="126">
        <f>_xlfn.COMPOUNDVALUE(723)</f>
        <v>9468</v>
      </c>
      <c r="G71" s="127">
        <v>25323736</v>
      </c>
      <c r="H71" s="126">
        <f>_xlfn.COMPOUNDVALUE(724)</f>
        <v>364</v>
      </c>
      <c r="I71" s="128">
        <v>1360703</v>
      </c>
      <c r="J71" s="126">
        <v>685</v>
      </c>
      <c r="K71" s="128">
        <v>203111</v>
      </c>
      <c r="L71" s="126">
        <f>_xlfn.COMPOUNDVALUE(724)</f>
        <v>9970</v>
      </c>
      <c r="M71" s="128">
        <v>24166144</v>
      </c>
      <c r="N71" s="126">
        <v>10042</v>
      </c>
      <c r="O71" s="144">
        <v>229</v>
      </c>
      <c r="P71" s="144">
        <v>26</v>
      </c>
      <c r="Q71" s="145">
        <v>10297</v>
      </c>
      <c r="R71" s="83" t="s">
        <v>108</v>
      </c>
    </row>
    <row r="72" spans="1:18" ht="15.75" customHeight="1">
      <c r="A72" s="79" t="s">
        <v>109</v>
      </c>
      <c r="B72" s="126">
        <f>_xlfn.COMPOUNDVALUE(725)</f>
        <v>3344</v>
      </c>
      <c r="C72" s="127">
        <v>15362530</v>
      </c>
      <c r="D72" s="126">
        <f>_xlfn.COMPOUNDVALUE(726)</f>
        <v>2483</v>
      </c>
      <c r="E72" s="127">
        <v>1036864</v>
      </c>
      <c r="F72" s="126">
        <f>_xlfn.COMPOUNDVALUE(727)</f>
        <v>5827</v>
      </c>
      <c r="G72" s="127">
        <v>16399394</v>
      </c>
      <c r="H72" s="126">
        <f>_xlfn.COMPOUNDVALUE(728)</f>
        <v>234</v>
      </c>
      <c r="I72" s="128">
        <v>7528454</v>
      </c>
      <c r="J72" s="126">
        <v>447</v>
      </c>
      <c r="K72" s="128">
        <v>38533</v>
      </c>
      <c r="L72" s="126">
        <f>_xlfn.COMPOUNDVALUE(728)</f>
        <v>6178</v>
      </c>
      <c r="M72" s="128">
        <v>8909472</v>
      </c>
      <c r="N72" s="126">
        <v>6179</v>
      </c>
      <c r="O72" s="144">
        <v>106</v>
      </c>
      <c r="P72" s="144">
        <v>11</v>
      </c>
      <c r="Q72" s="145">
        <v>6296</v>
      </c>
      <c r="R72" s="83" t="s">
        <v>109</v>
      </c>
    </row>
    <row r="73" spans="1:18" ht="15.75" customHeight="1">
      <c r="A73" s="82" t="s">
        <v>110</v>
      </c>
      <c r="B73" s="129">
        <f>_xlfn.COMPOUNDVALUE(729)</f>
        <v>2288</v>
      </c>
      <c r="C73" s="130">
        <v>8429514</v>
      </c>
      <c r="D73" s="129">
        <f>_xlfn.COMPOUNDVALUE(730)</f>
        <v>1754</v>
      </c>
      <c r="E73" s="130">
        <v>719440</v>
      </c>
      <c r="F73" s="129">
        <f>_xlfn.COMPOUNDVALUE(731)</f>
        <v>4042</v>
      </c>
      <c r="G73" s="130">
        <v>9148954</v>
      </c>
      <c r="H73" s="129">
        <f>_xlfn.COMPOUNDVALUE(732)</f>
        <v>119</v>
      </c>
      <c r="I73" s="131">
        <v>657424</v>
      </c>
      <c r="J73" s="129">
        <v>236</v>
      </c>
      <c r="K73" s="131">
        <v>20427</v>
      </c>
      <c r="L73" s="129">
        <f>_xlfn.COMPOUNDVALUE(732)</f>
        <v>4208</v>
      </c>
      <c r="M73" s="131">
        <v>8511958</v>
      </c>
      <c r="N73" s="126">
        <v>4271</v>
      </c>
      <c r="O73" s="144">
        <v>108</v>
      </c>
      <c r="P73" s="144">
        <v>7</v>
      </c>
      <c r="Q73" s="145">
        <v>4386</v>
      </c>
      <c r="R73" s="83" t="s">
        <v>110</v>
      </c>
    </row>
    <row r="74" spans="1:18" ht="15.75" customHeight="1">
      <c r="A74" s="82" t="s">
        <v>111</v>
      </c>
      <c r="B74" s="129">
        <f>_xlfn.COMPOUNDVALUE(733)</f>
        <v>2970</v>
      </c>
      <c r="C74" s="130">
        <v>13344497</v>
      </c>
      <c r="D74" s="129">
        <f>_xlfn.COMPOUNDVALUE(734)</f>
        <v>2229</v>
      </c>
      <c r="E74" s="130">
        <v>900312</v>
      </c>
      <c r="F74" s="129">
        <f>_xlfn.COMPOUNDVALUE(735)</f>
        <v>5199</v>
      </c>
      <c r="G74" s="130">
        <v>14244809</v>
      </c>
      <c r="H74" s="129">
        <f>_xlfn.COMPOUNDVALUE(736)</f>
        <v>271</v>
      </c>
      <c r="I74" s="131">
        <v>3743500</v>
      </c>
      <c r="J74" s="129">
        <v>382</v>
      </c>
      <c r="K74" s="131">
        <v>33415</v>
      </c>
      <c r="L74" s="129">
        <f>_xlfn.COMPOUNDVALUE(736)</f>
        <v>5574</v>
      </c>
      <c r="M74" s="131">
        <v>10534724</v>
      </c>
      <c r="N74" s="126">
        <v>5385</v>
      </c>
      <c r="O74" s="144">
        <v>148</v>
      </c>
      <c r="P74" s="144">
        <v>15</v>
      </c>
      <c r="Q74" s="145">
        <v>5548</v>
      </c>
      <c r="R74" s="83" t="s">
        <v>111</v>
      </c>
    </row>
    <row r="75" spans="1:18" ht="15.75" customHeight="1">
      <c r="A75" s="82" t="s">
        <v>112</v>
      </c>
      <c r="B75" s="129">
        <f>_xlfn.COMPOUNDVALUE(737)</f>
        <v>2254</v>
      </c>
      <c r="C75" s="130">
        <v>9823371</v>
      </c>
      <c r="D75" s="129">
        <f>_xlfn.COMPOUNDVALUE(738)</f>
        <v>1866</v>
      </c>
      <c r="E75" s="130">
        <v>742952</v>
      </c>
      <c r="F75" s="129">
        <f>_xlfn.COMPOUNDVALUE(739)</f>
        <v>4120</v>
      </c>
      <c r="G75" s="130">
        <v>10566323</v>
      </c>
      <c r="H75" s="129">
        <f>_xlfn.COMPOUNDVALUE(740)</f>
        <v>157</v>
      </c>
      <c r="I75" s="131">
        <v>1651674</v>
      </c>
      <c r="J75" s="129">
        <v>250</v>
      </c>
      <c r="K75" s="131">
        <v>35944</v>
      </c>
      <c r="L75" s="129">
        <f>_xlfn.COMPOUNDVALUE(740)</f>
        <v>4354</v>
      </c>
      <c r="M75" s="131">
        <v>8950592</v>
      </c>
      <c r="N75" s="126">
        <v>4305</v>
      </c>
      <c r="O75" s="144">
        <v>105</v>
      </c>
      <c r="P75" s="144">
        <v>13</v>
      </c>
      <c r="Q75" s="145">
        <v>4423</v>
      </c>
      <c r="R75" s="83" t="s">
        <v>112</v>
      </c>
    </row>
    <row r="76" spans="1:18" ht="15.75" customHeight="1">
      <c r="A76" s="82" t="s">
        <v>113</v>
      </c>
      <c r="B76" s="129">
        <f>_xlfn.COMPOUNDVALUE(741)</f>
        <v>1493</v>
      </c>
      <c r="C76" s="130">
        <v>3508280</v>
      </c>
      <c r="D76" s="129">
        <f>_xlfn.COMPOUNDVALUE(742)</f>
        <v>1330</v>
      </c>
      <c r="E76" s="130">
        <v>484210</v>
      </c>
      <c r="F76" s="129">
        <f>_xlfn.COMPOUNDVALUE(743)</f>
        <v>2823</v>
      </c>
      <c r="G76" s="130">
        <v>3992490</v>
      </c>
      <c r="H76" s="129">
        <f>_xlfn.COMPOUNDVALUE(744)</f>
        <v>106</v>
      </c>
      <c r="I76" s="131">
        <v>325450</v>
      </c>
      <c r="J76" s="129">
        <v>178</v>
      </c>
      <c r="K76" s="131">
        <v>-2247</v>
      </c>
      <c r="L76" s="129">
        <f>_xlfn.COMPOUNDVALUE(744)</f>
        <v>2972</v>
      </c>
      <c r="M76" s="131">
        <v>3664793</v>
      </c>
      <c r="N76" s="126">
        <v>2867</v>
      </c>
      <c r="O76" s="144">
        <v>106</v>
      </c>
      <c r="P76" s="144">
        <v>6</v>
      </c>
      <c r="Q76" s="145">
        <v>2979</v>
      </c>
      <c r="R76" s="83" t="s">
        <v>113</v>
      </c>
    </row>
    <row r="77" spans="1:18" ht="15.75" customHeight="1">
      <c r="A77" s="82" t="s">
        <v>114</v>
      </c>
      <c r="B77" s="129">
        <f>_xlfn.COMPOUNDVALUE(745)</f>
        <v>849</v>
      </c>
      <c r="C77" s="130">
        <v>2283671</v>
      </c>
      <c r="D77" s="129">
        <f>_xlfn.COMPOUNDVALUE(746)</f>
        <v>699</v>
      </c>
      <c r="E77" s="130">
        <v>264867</v>
      </c>
      <c r="F77" s="129">
        <f>_xlfn.COMPOUNDVALUE(747)</f>
        <v>1548</v>
      </c>
      <c r="G77" s="130">
        <v>2548538</v>
      </c>
      <c r="H77" s="129">
        <f>_xlfn.COMPOUNDVALUE(748)</f>
        <v>62</v>
      </c>
      <c r="I77" s="131">
        <v>88506</v>
      </c>
      <c r="J77" s="129">
        <v>128</v>
      </c>
      <c r="K77" s="131">
        <v>11778</v>
      </c>
      <c r="L77" s="129">
        <f>_xlfn.COMPOUNDVALUE(748)</f>
        <v>1633</v>
      </c>
      <c r="M77" s="131">
        <v>2471810</v>
      </c>
      <c r="N77" s="126">
        <v>1610</v>
      </c>
      <c r="O77" s="144">
        <v>47</v>
      </c>
      <c r="P77" s="144">
        <v>3</v>
      </c>
      <c r="Q77" s="145">
        <v>1660</v>
      </c>
      <c r="R77" s="83" t="s">
        <v>114</v>
      </c>
    </row>
    <row r="78" spans="1:18" ht="15.75" customHeight="1">
      <c r="A78" s="82" t="s">
        <v>115</v>
      </c>
      <c r="B78" s="129">
        <f>_xlfn.COMPOUNDVALUE(749)</f>
        <v>2824</v>
      </c>
      <c r="C78" s="130">
        <v>9747372</v>
      </c>
      <c r="D78" s="129">
        <f>_xlfn.COMPOUNDVALUE(750)</f>
        <v>2794</v>
      </c>
      <c r="E78" s="130">
        <v>1306384</v>
      </c>
      <c r="F78" s="129">
        <f>_xlfn.COMPOUNDVALUE(751)</f>
        <v>5618</v>
      </c>
      <c r="G78" s="130">
        <v>11053756</v>
      </c>
      <c r="H78" s="129">
        <f>_xlfn.COMPOUNDVALUE(752)</f>
        <v>213</v>
      </c>
      <c r="I78" s="131">
        <v>4868473</v>
      </c>
      <c r="J78" s="129">
        <v>372</v>
      </c>
      <c r="K78" s="131">
        <v>30320</v>
      </c>
      <c r="L78" s="129">
        <f>_xlfn.COMPOUNDVALUE(752)</f>
        <v>5960</v>
      </c>
      <c r="M78" s="131">
        <v>6215602</v>
      </c>
      <c r="N78" s="126">
        <v>5942</v>
      </c>
      <c r="O78" s="144">
        <v>142</v>
      </c>
      <c r="P78" s="144">
        <v>16</v>
      </c>
      <c r="Q78" s="145">
        <v>6100</v>
      </c>
      <c r="R78" s="83" t="s">
        <v>115</v>
      </c>
    </row>
    <row r="79" spans="1:18" ht="15.75" customHeight="1">
      <c r="A79" s="82" t="s">
        <v>116</v>
      </c>
      <c r="B79" s="129">
        <f>_xlfn.COMPOUNDVALUE(753)</f>
        <v>467</v>
      </c>
      <c r="C79" s="130">
        <v>1316437</v>
      </c>
      <c r="D79" s="129">
        <f>_xlfn.COMPOUNDVALUE(754)</f>
        <v>339</v>
      </c>
      <c r="E79" s="130">
        <v>132073</v>
      </c>
      <c r="F79" s="129">
        <f>_xlfn.COMPOUNDVALUE(755)</f>
        <v>806</v>
      </c>
      <c r="G79" s="130">
        <v>1448510</v>
      </c>
      <c r="H79" s="129">
        <f>_xlfn.COMPOUNDVALUE(756)</f>
        <v>22</v>
      </c>
      <c r="I79" s="131">
        <v>15803</v>
      </c>
      <c r="J79" s="129">
        <v>59</v>
      </c>
      <c r="K79" s="131">
        <v>6378</v>
      </c>
      <c r="L79" s="129">
        <f>_xlfn.COMPOUNDVALUE(756)</f>
        <v>835</v>
      </c>
      <c r="M79" s="131">
        <v>1439084</v>
      </c>
      <c r="N79" s="126">
        <v>823</v>
      </c>
      <c r="O79" s="144">
        <v>22</v>
      </c>
      <c r="P79" s="144" t="s">
        <v>168</v>
      </c>
      <c r="Q79" s="145">
        <v>845</v>
      </c>
      <c r="R79" s="83" t="s">
        <v>116</v>
      </c>
    </row>
    <row r="80" spans="1:18" ht="15.75" customHeight="1">
      <c r="A80" s="84" t="s">
        <v>117</v>
      </c>
      <c r="B80" s="132">
        <v>27712</v>
      </c>
      <c r="C80" s="133">
        <v>122369632</v>
      </c>
      <c r="D80" s="132">
        <v>21893</v>
      </c>
      <c r="E80" s="133">
        <v>9067205</v>
      </c>
      <c r="F80" s="132">
        <v>49605</v>
      </c>
      <c r="G80" s="133">
        <v>131436837</v>
      </c>
      <c r="H80" s="132">
        <v>1901</v>
      </c>
      <c r="I80" s="134">
        <v>28917142</v>
      </c>
      <c r="J80" s="132">
        <v>3475</v>
      </c>
      <c r="K80" s="134">
        <v>529817</v>
      </c>
      <c r="L80" s="132">
        <v>52442</v>
      </c>
      <c r="M80" s="134">
        <v>103049512</v>
      </c>
      <c r="N80" s="132">
        <v>52108</v>
      </c>
      <c r="O80" s="146">
        <v>1213</v>
      </c>
      <c r="P80" s="146">
        <v>125</v>
      </c>
      <c r="Q80" s="147">
        <v>53446</v>
      </c>
      <c r="R80" s="85" t="s">
        <v>118</v>
      </c>
    </row>
    <row r="81" spans="1:18" ht="15.75" customHeight="1" thickBot="1">
      <c r="A81" s="89"/>
      <c r="B81" s="138"/>
      <c r="C81" s="139"/>
      <c r="D81" s="138"/>
      <c r="E81" s="139"/>
      <c r="F81" s="140"/>
      <c r="G81" s="139"/>
      <c r="H81" s="140"/>
      <c r="I81" s="139"/>
      <c r="J81" s="140"/>
      <c r="K81" s="139"/>
      <c r="L81" s="140"/>
      <c r="M81" s="139"/>
      <c r="N81" s="151"/>
      <c r="O81" s="152"/>
      <c r="P81" s="152"/>
      <c r="Q81" s="153"/>
      <c r="R81" s="101" t="s">
        <v>135</v>
      </c>
    </row>
    <row r="82" spans="1:18" ht="15.75" customHeight="1" thickBot="1" thickTop="1">
      <c r="A82" s="92" t="s">
        <v>120</v>
      </c>
      <c r="B82" s="141">
        <v>218679</v>
      </c>
      <c r="C82" s="142">
        <v>992619521</v>
      </c>
      <c r="D82" s="141">
        <v>177648</v>
      </c>
      <c r="E82" s="142">
        <v>74255004</v>
      </c>
      <c r="F82" s="141">
        <v>396327</v>
      </c>
      <c r="G82" s="142">
        <v>1066874525</v>
      </c>
      <c r="H82" s="141">
        <v>15487</v>
      </c>
      <c r="I82" s="143">
        <v>106596306</v>
      </c>
      <c r="J82" s="141">
        <v>28248</v>
      </c>
      <c r="K82" s="143">
        <v>3795399</v>
      </c>
      <c r="L82" s="141">
        <v>419620</v>
      </c>
      <c r="M82" s="143">
        <v>964073618</v>
      </c>
      <c r="N82" s="154">
        <v>414889</v>
      </c>
      <c r="O82" s="155">
        <v>10094</v>
      </c>
      <c r="P82" s="155">
        <v>1124</v>
      </c>
      <c r="Q82" s="156">
        <v>426107</v>
      </c>
      <c r="R82" s="102" t="s">
        <v>120</v>
      </c>
    </row>
    <row r="83" spans="1:11" ht="13.5">
      <c r="A83" s="197" t="s">
        <v>136</v>
      </c>
      <c r="B83" s="197"/>
      <c r="C83" s="197"/>
      <c r="D83" s="197"/>
      <c r="E83" s="197"/>
      <c r="F83" s="197"/>
      <c r="G83" s="197"/>
      <c r="H83" s="197"/>
      <c r="I83" s="197"/>
      <c r="J83" s="197"/>
      <c r="K83" s="197"/>
    </row>
  </sheetData>
  <sheetProtection/>
  <mergeCells count="16">
    <mergeCell ref="L3:M4"/>
    <mergeCell ref="A2:I2"/>
    <mergeCell ref="A3:A5"/>
    <mergeCell ref="B3:G3"/>
    <mergeCell ref="H3:I4"/>
    <mergeCell ref="J3:K4"/>
    <mergeCell ref="A83:K83"/>
    <mergeCell ref="N3:Q3"/>
    <mergeCell ref="R3:R5"/>
    <mergeCell ref="B4:C4"/>
    <mergeCell ref="D4:E4"/>
    <mergeCell ref="F4:G4"/>
    <mergeCell ref="N4:N5"/>
    <mergeCell ref="O4:O5"/>
    <mergeCell ref="P4:P5"/>
    <mergeCell ref="Q4:Q5"/>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48" r:id="rId1"/>
  <headerFooter alignWithMargins="0">
    <oddFooter>&amp;R関東信越国税局
消費税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2016-03-28T07:16:00Z</cp:lastPrinted>
  <dcterms:created xsi:type="dcterms:W3CDTF">2003-07-09T01:05:10Z</dcterms:created>
  <dcterms:modified xsi:type="dcterms:W3CDTF">2016-05-26T06:47:33Z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