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'(4)税務署別(個人事業者）'!$A$1:$N$83</definedName>
    <definedName name="_xlnm.Print_Area" localSheetId="5">'(4)税務署別（合計）'!$A$1:$R$83</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<sst xmlns="http://schemas.openxmlformats.org/spreadsheetml/2006/main" count="622" uniqueCount="167">
  <si>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</si>
  <si>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</si>
  <si>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</si>
  <si>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</si>
  <si>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</si>
  <si>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</si>
  <si>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</si>
  <si>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</si>
  <si>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</si>
  <si>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</si>
  <si>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</si>
  <si>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</si>
  <si>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</si>
  <si>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</si>
  <si>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</si>
  <si>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</si>
  <si>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</si>
  <si>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法　　　　　　　人</t>
  </si>
  <si>
    <t>合　　　　　　　計</t>
  </si>
  <si>
    <t>件　　数</t>
  </si>
  <si>
    <t>税　　額</t>
  </si>
  <si>
    <t>(3)　課税事業者等届出件数</t>
  </si>
  <si>
    <t>千円</t>
  </si>
  <si>
    <t>件</t>
  </si>
  <si>
    <t>(2)　課税状況の累年比較</t>
  </si>
  <si>
    <t>平成22年度</t>
  </si>
  <si>
    <t>平成23年度</t>
  </si>
  <si>
    <t>合計</t>
  </si>
  <si>
    <t>(4)　税務署別課税状況</t>
  </si>
  <si>
    <t>　イ　個人事業者</t>
  </si>
  <si>
    <t>税務署名</t>
  </si>
  <si>
    <t>納　　　税　　　申　　　告　　　及　　　び　　　処　　　理</t>
  </si>
  <si>
    <t>既往年分の
申告及び処理</t>
  </si>
  <si>
    <t>合　　　　　　計</t>
  </si>
  <si>
    <t>税務署名</t>
  </si>
  <si>
    <t>簡易申告及び処理</t>
  </si>
  <si>
    <t>小　　　　　　計</t>
  </si>
  <si>
    <t>件　数</t>
  </si>
  <si>
    <t>税額</t>
  </si>
  <si>
    <t>税　額　①</t>
  </si>
  <si>
    <t>税　額　②</t>
  </si>
  <si>
    <t>税　額　③</t>
  </si>
  <si>
    <t>税　　　額
(①－②＋③)</t>
  </si>
  <si>
    <t>水戸</t>
  </si>
  <si>
    <t>日立</t>
  </si>
  <si>
    <t>土浦</t>
  </si>
  <si>
    <t>古河</t>
  </si>
  <si>
    <t>下館</t>
  </si>
  <si>
    <t>竜ケ崎</t>
  </si>
  <si>
    <t>竜ケ崎</t>
  </si>
  <si>
    <t>太田</t>
  </si>
  <si>
    <t>潮来</t>
  </si>
  <si>
    <t>茨城県計</t>
  </si>
  <si>
    <t>茨城県計</t>
  </si>
  <si>
    <t>宇都宮</t>
  </si>
  <si>
    <t>足利</t>
  </si>
  <si>
    <t>栃木</t>
  </si>
  <si>
    <t>佐野</t>
  </si>
  <si>
    <t>鹿沼</t>
  </si>
  <si>
    <t>真岡</t>
  </si>
  <si>
    <t>大田原</t>
  </si>
  <si>
    <t>氏家</t>
  </si>
  <si>
    <t>栃木県計</t>
  </si>
  <si>
    <t>栃木県計</t>
  </si>
  <si>
    <t>前橋</t>
  </si>
  <si>
    <t>高崎</t>
  </si>
  <si>
    <t>桐生</t>
  </si>
  <si>
    <t>伊勢崎</t>
  </si>
  <si>
    <t>沼田</t>
  </si>
  <si>
    <t>館林</t>
  </si>
  <si>
    <t>藤岡</t>
  </si>
  <si>
    <t>富岡</t>
  </si>
  <si>
    <t>中之条</t>
  </si>
  <si>
    <t>群馬県計</t>
  </si>
  <si>
    <t>群馬県計</t>
  </si>
  <si>
    <t>川越</t>
  </si>
  <si>
    <t>熊谷</t>
  </si>
  <si>
    <t>川口</t>
  </si>
  <si>
    <t>西川口</t>
  </si>
  <si>
    <t>浦和</t>
  </si>
  <si>
    <t>大宮</t>
  </si>
  <si>
    <t>行田</t>
  </si>
  <si>
    <t>秩父</t>
  </si>
  <si>
    <t>所沢</t>
  </si>
  <si>
    <t>本庄</t>
  </si>
  <si>
    <t>東松山</t>
  </si>
  <si>
    <t>春日部</t>
  </si>
  <si>
    <t>上尾</t>
  </si>
  <si>
    <t>越谷</t>
  </si>
  <si>
    <t>朝霞</t>
  </si>
  <si>
    <t>埼玉県計</t>
  </si>
  <si>
    <t>埼玉県計</t>
  </si>
  <si>
    <t>新潟</t>
  </si>
  <si>
    <t>新津</t>
  </si>
  <si>
    <t>巻</t>
  </si>
  <si>
    <t>長岡</t>
  </si>
  <si>
    <t>三条</t>
  </si>
  <si>
    <t>柏崎</t>
  </si>
  <si>
    <t>新発田</t>
  </si>
  <si>
    <t>小千谷</t>
  </si>
  <si>
    <t>十日町</t>
  </si>
  <si>
    <t>村上</t>
  </si>
  <si>
    <t>糸魚川</t>
  </si>
  <si>
    <t>高田</t>
  </si>
  <si>
    <t>佐渡</t>
  </si>
  <si>
    <t>佐渡</t>
  </si>
  <si>
    <t>新潟県計</t>
  </si>
  <si>
    <t>新潟県計</t>
  </si>
  <si>
    <t>長野</t>
  </si>
  <si>
    <t>松本</t>
  </si>
  <si>
    <t>上田</t>
  </si>
  <si>
    <t>飯田</t>
  </si>
  <si>
    <t>諏訪</t>
  </si>
  <si>
    <t>伊那</t>
  </si>
  <si>
    <t>信濃中野</t>
  </si>
  <si>
    <t>大町</t>
  </si>
  <si>
    <t>佐久</t>
  </si>
  <si>
    <t>木曽</t>
  </si>
  <si>
    <t>長野県計</t>
  </si>
  <si>
    <t>長野県計</t>
  </si>
  <si>
    <t>総　計</t>
  </si>
  <si>
    <t>総　計</t>
  </si>
  <si>
    <t>（注）この表は「(1)　課税状況」の現年分を税務署別に示したものである（加算税を除く。）。</t>
  </si>
  <si>
    <t>(4)　税務署別課税状況（続）</t>
  </si>
  <si>
    <t>　ロ　法　　　人</t>
  </si>
  <si>
    <t>税務署名</t>
  </si>
  <si>
    <t>　ハ　個人事業者と法人の合計</t>
  </si>
  <si>
    <t>課　税　事　業　者　等　届　出　件　数</t>
  </si>
  <si>
    <t>課税事業者
届出</t>
  </si>
  <si>
    <t>課税事業者
選択届出</t>
  </si>
  <si>
    <t>新設法人に
該当する旨
の届出</t>
  </si>
  <si>
    <t>合　　　計</t>
  </si>
  <si>
    <t>件 数</t>
  </si>
  <si>
    <t>税 額</t>
  </si>
  <si>
    <t>税　　額
(①－②＋③)</t>
  </si>
  <si>
    <t>茨城県計</t>
  </si>
  <si>
    <t/>
  </si>
  <si>
    <t>（注）この表は「(1)　課税状況」の現年分及び「(3)　課税事業者等届出件数」を税務署別に示したものである（加算税を除く。）。</t>
  </si>
  <si>
    <t>平成24年度</t>
  </si>
  <si>
    <t>「現年分」は、平成25年４月１日から平成26年３月31日までに終了した課税期間について、平成26年６月30日現在の申告（国・地方公共団体等については平成26年９月30日までの申告を含む。）及び処理（更正、決定等）による課税事績を「申告書及び決議書」に基づいて作成した。</t>
  </si>
  <si>
    <t>平成21年度</t>
  </si>
  <si>
    <t>平成25年度</t>
  </si>
  <si>
    <t>調査対象等：平成25年度末（平成26年３月31日現在）の届出件数を示している。</t>
  </si>
  <si>
    <t>調査対象等：</t>
  </si>
  <si>
    <t>「既往年分」は、平成25年３月31日以前に終了した課税期間について、平成25年７月１日から平成26年６月30日までの間の申告（平成25年７月１日から同年９月30日までの間の国・地方公共団体等に係る申告を除く。）及び処理（更正、決定等）による課税事績を「申告書及び決議書」に基づいて作成した。</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</si>
  <si>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</si>
  <si>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</si>
  <si>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</si>
  <si>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</si>
  <si>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</si>
  <si>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</si>
  <si>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</si>
  <si>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</si>
  <si>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</si>
  <si>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</si>
  <si>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</si>
  <si>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</si>
  <si>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茨城県計</t>
  </si>
  <si>
    <t>栃木県計</t>
  </si>
  <si>
    <t>群馬県計</t>
  </si>
  <si>
    <t>埼玉県計</t>
  </si>
  <si>
    <t>佐渡</t>
  </si>
  <si>
    <t>新潟県計</t>
  </si>
  <si>
    <t>長野県計</t>
  </si>
  <si>
    <t>総　計</t>
  </si>
  <si>
    <t>（注）１　税関分は含まない。</t>
  </si>
  <si>
    <t>　　　２　「件数欄」の「実」は、実件数を示す。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</si>
</sst>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8">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u val="single"/>
      <sz val="16.5"/>
      <color indexed="12"/>
      <name val="ＭＳ Ｐゴシック"/>
      <family val="3"/>
    </font>
    <font>
      <b/>
      <sz val="9"/>
      <name val="ＭＳ 明朝"/>
      <family val="1"/>
    </font>
    <font>
      <b/>
      <sz val="11"/>
      <name val="ＭＳ ゴシック"/>
      <family val="3"/>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border>
    <border>
      <left/>
      <right style="thin"/>
      <top style="thin"/>
      <bottom/>
    </border>
    <border>
      <left/>
      <right style="medium"/>
      <top style="thin"/>
      <bottom/>
    </border>
    <border>
      <left style="thin"/>
      <right style="hair"/>
      <top style="thin"/>
      <bottom/>
    </border>
    <border>
      <left style="medium"/>
      <right style="thin"/>
      <top style="medium"/>
      <bottom/>
    </border>
    <border>
      <left style="thin"/>
      <right style="thin"/>
      <top style="medium"/>
      <bottom/>
    </border>
    <border>
      <left style="thin"/>
      <right/>
      <top style="medium"/>
      <bottom/>
    </border>
    <border>
      <left style="hair"/>
      <right style="medium"/>
      <top style="thin"/>
      <bottom/>
    </border>
    <border>
      <left style="thin"/>
      <right style="hair"/>
      <top/>
      <bottom/>
    </border>
    <border>
      <left style="thin"/>
      <right style="hair"/>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border>
    <border>
      <left style="hair"/>
      <right style="thin"/>
      <top/>
      <bottom style="hair">
        <color indexed="55"/>
      </bottom>
    </border>
    <border>
      <left style="hair"/>
      <right style="medium"/>
      <top/>
      <bottom style="hair">
        <color indexed="55"/>
      </bottom>
    </border>
    <border>
      <left style="medium"/>
      <right/>
      <top style="thin"/>
      <bottom/>
    </border>
    <border>
      <left style="thin"/>
      <right style="hair"/>
      <top/>
      <bottom style="hair">
        <color indexed="55"/>
      </bottom>
    </border>
    <border>
      <left style="medium"/>
      <right style="thin"/>
      <top style="thin"/>
      <bottom/>
    </border>
    <border>
      <left style="thin"/>
      <right style="thin"/>
      <top style="thin"/>
      <bottom/>
    </border>
    <border>
      <left style="thin"/>
      <right/>
      <top style="thin"/>
      <bottom/>
    </border>
    <border>
      <left style="thin"/>
      <right style="medium"/>
      <top style="thin"/>
      <bottom/>
    </border>
    <border>
      <left/>
      <right/>
      <top style="medium"/>
      <bottom/>
    </border>
    <border>
      <left style="thin"/>
      <right style="medium"/>
      <top style="medium"/>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medium"/>
      <right style="thin"/>
      <top/>
      <bottom style="medium"/>
    </border>
    <border>
      <left style="thin"/>
      <right style="thin"/>
      <top/>
      <bottom style="medium"/>
    </border>
    <border>
      <left style="thin"/>
      <right/>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hair"/>
      <right style="hair"/>
      <top style="hair">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double"/>
      <bottom style="medium"/>
    </border>
    <border>
      <left style="hair"/>
      <right style="hair"/>
      <top style="double"/>
      <bottom style="medium"/>
    </border>
    <border>
      <left style="hair"/>
      <right/>
      <top style="double"/>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thin"/>
      <right style="thin"/>
      <top style="medium"/>
      <bottom style="thin"/>
    </border>
    <border>
      <left/>
      <right style="medium"/>
      <top style="medium"/>
      <bottom/>
    </border>
    <border>
      <left style="medium"/>
      <right style="hair"/>
      <top style="hair"/>
      <bottom style="medium"/>
    </border>
    <border>
      <left style="medium"/>
      <right style="hair"/>
      <top/>
      <bottom style="hair"/>
    </border>
    <border>
      <left style="medium"/>
      <right style="hair"/>
      <top style="hair"/>
      <bottom style="thin"/>
    </border>
    <border>
      <left style="medium"/>
      <right style="hair"/>
      <top style="thin"/>
      <botto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medium"/>
      <right/>
      <top/>
      <bottom style="thin"/>
    </border>
    <border>
      <left style="thin"/>
      <right style="thin"/>
      <top style="medium"/>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30" fillId="0" borderId="0">
      <alignment vertical="center"/>
      <protection/>
    </xf>
    <xf numFmtId="0" fontId="46" fillId="32" borderId="0" applyNumberFormat="0" applyBorder="0" applyAlignment="0" applyProtection="0"/>
  </cellStyleXfs>
  <cellXfs count="218">
    <xf numFmtId="0" fontId="0" fillId="0" borderId="0" xfId="0" applyAlignment="1">
      <alignment/>
    </xf>
    <xf numFmtId="0" fontId="3" fillId="0" borderId="0" xfId="0" applyFont="1" applyAlignment="1">
      <alignment horizontal="left" vertical="top"/>
    </xf>
    <xf numFmtId="3" fontId="3" fillId="0" borderId="0" xfId="0" applyNumberFormat="1" applyFont="1" applyAlignment="1">
      <alignment horizontal="left" vertical="top"/>
    </xf>
    <xf numFmtId="0" fontId="5" fillId="0" borderId="0" xfId="0"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right" vertical="center"/>
    </xf>
    <xf numFmtId="0" fontId="5" fillId="0" borderId="18" xfId="0" applyFont="1" applyBorder="1" applyAlignment="1">
      <alignment horizontal="right" vertical="center"/>
    </xf>
    <xf numFmtId="0" fontId="3" fillId="0" borderId="19" xfId="0" applyFont="1" applyBorder="1" applyAlignment="1">
      <alignment horizontal="right" vertical="center"/>
    </xf>
    <xf numFmtId="3" fontId="3" fillId="0" borderId="18"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33" borderId="20" xfId="0" applyNumberFormat="1" applyFont="1" applyFill="1" applyBorder="1" applyAlignment="1">
      <alignment horizontal="right" vertical="center"/>
    </xf>
    <xf numFmtId="3" fontId="3" fillId="33" borderId="21" xfId="0" applyNumberFormat="1" applyFont="1" applyFill="1" applyBorder="1" applyAlignment="1">
      <alignment horizontal="right" vertical="center"/>
    </xf>
    <xf numFmtId="0" fontId="3" fillId="0" borderId="20" xfId="0" applyFont="1" applyBorder="1" applyAlignment="1">
      <alignment horizontal="distributed" vertical="center"/>
    </xf>
    <xf numFmtId="0" fontId="3" fillId="0" borderId="22" xfId="0" applyFont="1" applyBorder="1" applyAlignment="1">
      <alignment horizontal="distributed" vertical="center"/>
    </xf>
    <xf numFmtId="0" fontId="5" fillId="0" borderId="22" xfId="0" applyFont="1" applyBorder="1" applyAlignment="1">
      <alignment horizontal="distributed" vertical="center"/>
    </xf>
    <xf numFmtId="0" fontId="3" fillId="0" borderId="23" xfId="0" applyFont="1" applyBorder="1" applyAlignment="1">
      <alignment horizontal="distributed" vertical="center"/>
    </xf>
    <xf numFmtId="0" fontId="5" fillId="0" borderId="24" xfId="0" applyFont="1" applyBorder="1" applyAlignment="1">
      <alignment horizontal="right" vertical="center"/>
    </xf>
    <xf numFmtId="3" fontId="3" fillId="34" borderId="25" xfId="0" applyNumberFormat="1" applyFont="1" applyFill="1" applyBorder="1" applyAlignment="1">
      <alignment horizontal="right" vertical="center"/>
    </xf>
    <xf numFmtId="3" fontId="3" fillId="34" borderId="26" xfId="0" applyNumberFormat="1" applyFont="1" applyFill="1" applyBorder="1" applyAlignment="1">
      <alignment horizontal="right" vertical="center"/>
    </xf>
    <xf numFmtId="3" fontId="3" fillId="33" borderId="23" xfId="0" applyNumberFormat="1" applyFont="1" applyFill="1" applyBorder="1" applyAlignment="1">
      <alignment horizontal="right" vertical="center"/>
    </xf>
    <xf numFmtId="3" fontId="3" fillId="33" borderId="27" xfId="0" applyNumberFormat="1" applyFont="1" applyFill="1" applyBorder="1" applyAlignment="1">
      <alignment horizontal="right" vertical="center"/>
    </xf>
    <xf numFmtId="0" fontId="3" fillId="0" borderId="28" xfId="0" applyFont="1" applyBorder="1" applyAlignment="1">
      <alignment horizontal="distributed" vertical="center"/>
    </xf>
    <xf numFmtId="3" fontId="3" fillId="34" borderId="29" xfId="0" applyNumberFormat="1" applyFont="1" applyFill="1" applyBorder="1" applyAlignment="1">
      <alignment horizontal="right" vertical="center"/>
    </xf>
    <xf numFmtId="3" fontId="3" fillId="33" borderId="28" xfId="0" applyNumberFormat="1" applyFont="1" applyFill="1" applyBorder="1" applyAlignment="1">
      <alignment horizontal="right" vertical="center"/>
    </xf>
    <xf numFmtId="3" fontId="3" fillId="33" borderId="30" xfId="0" applyNumberFormat="1" applyFont="1" applyFill="1" applyBorder="1" applyAlignment="1">
      <alignment horizontal="right" vertical="center"/>
    </xf>
    <xf numFmtId="0" fontId="6" fillId="33" borderId="10" xfId="0" applyFont="1" applyFill="1" applyBorder="1" applyAlignment="1">
      <alignment horizontal="right" vertical="top"/>
    </xf>
    <xf numFmtId="0" fontId="6" fillId="34" borderId="31" xfId="0" applyFont="1" applyFill="1" applyBorder="1" applyAlignment="1">
      <alignment horizontal="right" vertical="top"/>
    </xf>
    <xf numFmtId="3" fontId="3" fillId="0" borderId="13" xfId="0" applyNumberFormat="1" applyFont="1" applyBorder="1" applyAlignment="1">
      <alignment horizontal="center" vertical="center"/>
    </xf>
    <xf numFmtId="0" fontId="3" fillId="0" borderId="18" xfId="0" applyFont="1" applyBorder="1" applyAlignment="1">
      <alignment horizontal="center" vertical="center"/>
    </xf>
    <xf numFmtId="3" fontId="3" fillId="0" borderId="18" xfId="0" applyNumberFormat="1" applyFont="1" applyBorder="1" applyAlignment="1">
      <alignment horizontal="center" vertical="center"/>
    </xf>
    <xf numFmtId="0" fontId="3" fillId="0" borderId="32" xfId="0" applyFont="1" applyBorder="1" applyAlignment="1">
      <alignment horizontal="distributed" vertical="center"/>
    </xf>
    <xf numFmtId="3" fontId="3" fillId="33" borderId="32" xfId="0" applyNumberFormat="1" applyFont="1" applyFill="1" applyBorder="1" applyAlignment="1">
      <alignment horizontal="right" vertical="center"/>
    </xf>
    <xf numFmtId="3" fontId="3" fillId="33" borderId="33" xfId="0" applyNumberFormat="1" applyFont="1" applyFill="1" applyBorder="1" applyAlignment="1">
      <alignment horizontal="right" vertical="center"/>
    </xf>
    <xf numFmtId="0" fontId="6" fillId="0" borderId="34" xfId="0" applyFont="1" applyFill="1" applyBorder="1" applyAlignment="1">
      <alignment horizontal="center" vertical="center"/>
    </xf>
    <xf numFmtId="0" fontId="6" fillId="0" borderId="13" xfId="0" applyFont="1" applyFill="1" applyBorder="1" applyAlignment="1">
      <alignment horizontal="right" vertical="top"/>
    </xf>
    <xf numFmtId="0" fontId="6" fillId="33" borderId="17" xfId="0" applyFont="1" applyFill="1" applyBorder="1" applyAlignment="1">
      <alignment horizontal="right" vertical="top"/>
    </xf>
    <xf numFmtId="0" fontId="6" fillId="0" borderId="10" xfId="0" applyFont="1" applyFill="1" applyBorder="1" applyAlignment="1">
      <alignment horizontal="center" vertical="center"/>
    </xf>
    <xf numFmtId="3" fontId="3" fillId="34" borderId="35" xfId="0" applyNumberFormat="1" applyFont="1" applyFill="1" applyBorder="1" applyAlignment="1">
      <alignment horizontal="right" vertical="center"/>
    </xf>
    <xf numFmtId="0" fontId="3" fillId="0" borderId="34" xfId="0" applyFont="1" applyBorder="1" applyAlignment="1">
      <alignment horizontal="center" vertical="center"/>
    </xf>
    <xf numFmtId="0" fontId="6" fillId="34" borderId="13" xfId="0" applyFont="1" applyFill="1" applyBorder="1" applyAlignment="1">
      <alignment horizontal="right"/>
    </xf>
    <xf numFmtId="0" fontId="6" fillId="33" borderId="10" xfId="0" applyFont="1" applyFill="1" applyBorder="1" applyAlignment="1">
      <alignment horizontal="right"/>
    </xf>
    <xf numFmtId="0" fontId="6" fillId="33" borderId="17" xfId="0" applyFont="1" applyFill="1" applyBorder="1" applyAlignment="1">
      <alignment horizontal="right"/>
    </xf>
    <xf numFmtId="0" fontId="6" fillId="34" borderId="36" xfId="0" applyFont="1" applyFill="1" applyBorder="1" applyAlignment="1">
      <alignment horizontal="right"/>
    </xf>
    <xf numFmtId="0" fontId="6" fillId="34" borderId="37" xfId="0" applyFont="1" applyFill="1" applyBorder="1" applyAlignment="1">
      <alignment horizontal="right"/>
    </xf>
    <xf numFmtId="0" fontId="6" fillId="34" borderId="38" xfId="0" applyFont="1" applyFill="1" applyBorder="1" applyAlignment="1">
      <alignment horizontal="right"/>
    </xf>
    <xf numFmtId="0" fontId="6" fillId="34" borderId="39" xfId="0" applyFont="1" applyFill="1" applyBorder="1" applyAlignment="1">
      <alignment horizontal="right"/>
    </xf>
    <xf numFmtId="0" fontId="3" fillId="0" borderId="40" xfId="0" applyFont="1" applyBorder="1" applyAlignment="1">
      <alignment horizontal="left" vertical="top" wrapText="1"/>
    </xf>
    <xf numFmtId="0" fontId="4" fillId="0" borderId="0" xfId="0" applyFont="1" applyAlignment="1">
      <alignment horizontal="center" vertical="top"/>
    </xf>
    <xf numFmtId="0" fontId="3" fillId="0" borderId="20"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0" xfId="0" applyFont="1" applyBorder="1" applyAlignment="1">
      <alignment horizontal="left" vertical="top"/>
    </xf>
    <xf numFmtId="0" fontId="0" fillId="0" borderId="0" xfId="0" applyFont="1" applyAlignment="1">
      <alignment/>
    </xf>
    <xf numFmtId="0" fontId="3" fillId="0" borderId="0" xfId="0" applyFont="1" applyAlignment="1" quotePrefix="1">
      <alignment horizontal="left" vertical="top"/>
    </xf>
    <xf numFmtId="0" fontId="3" fillId="0" borderId="41" xfId="0" applyFont="1" applyBorder="1" applyAlignment="1">
      <alignment horizontal="distributed" vertical="center" indent="1"/>
    </xf>
    <xf numFmtId="0" fontId="3" fillId="0" borderId="0" xfId="60" applyFont="1" applyAlignment="1">
      <alignment horizontal="left" vertical="center"/>
      <protection/>
    </xf>
    <xf numFmtId="0" fontId="3" fillId="0" borderId="0" xfId="60" applyFont="1" applyAlignment="1">
      <alignment horizontal="left" vertical="top"/>
      <protection/>
    </xf>
    <xf numFmtId="0" fontId="0" fillId="0" borderId="0" xfId="60" applyFont="1">
      <alignment/>
      <protection/>
    </xf>
    <xf numFmtId="0" fontId="3" fillId="0" borderId="42" xfId="60" applyFont="1" applyBorder="1" applyAlignment="1">
      <alignment horizontal="center" vertical="center"/>
      <protection/>
    </xf>
    <xf numFmtId="0" fontId="3" fillId="0" borderId="43" xfId="60" applyFont="1" applyBorder="1" applyAlignment="1">
      <alignment horizontal="distributed" vertical="center" indent="1"/>
      <protection/>
    </xf>
    <xf numFmtId="0" fontId="3" fillId="0" borderId="43" xfId="60" applyFont="1" applyBorder="1" applyAlignment="1">
      <alignment horizontal="center" vertical="center"/>
      <protection/>
    </xf>
    <xf numFmtId="0" fontId="3" fillId="0" borderId="44" xfId="60" applyFont="1" applyBorder="1" applyAlignment="1">
      <alignment horizontal="center" vertical="center"/>
      <protection/>
    </xf>
    <xf numFmtId="0" fontId="3" fillId="0" borderId="44" xfId="60" applyFont="1" applyBorder="1" applyAlignment="1">
      <alignment horizontal="centerContinuous" vertical="center" wrapText="1"/>
      <protection/>
    </xf>
    <xf numFmtId="0" fontId="0" fillId="0" borderId="0" xfId="60" applyFont="1" applyAlignment="1">
      <alignment horizontal="center"/>
      <protection/>
    </xf>
    <xf numFmtId="0" fontId="6" fillId="35" borderId="34" xfId="60" applyFont="1" applyFill="1" applyBorder="1" applyAlignment="1">
      <alignment horizontal="distributed" vertical="top"/>
      <protection/>
    </xf>
    <xf numFmtId="0" fontId="6" fillId="34" borderId="13" xfId="60" applyFont="1" applyFill="1" applyBorder="1" applyAlignment="1">
      <alignment horizontal="right" vertical="top"/>
      <protection/>
    </xf>
    <xf numFmtId="0" fontId="6" fillId="33" borderId="10" xfId="60" applyFont="1" applyFill="1" applyBorder="1" applyAlignment="1">
      <alignment horizontal="right" vertical="top"/>
      <protection/>
    </xf>
    <xf numFmtId="0" fontId="6" fillId="33" borderId="45" xfId="60" applyFont="1" applyFill="1" applyBorder="1" applyAlignment="1">
      <alignment horizontal="right" vertical="top"/>
      <protection/>
    </xf>
    <xf numFmtId="0" fontId="6" fillId="35" borderId="39" xfId="60" applyFont="1" applyFill="1" applyBorder="1" applyAlignment="1">
      <alignment horizontal="distributed" vertical="top"/>
      <protection/>
    </xf>
    <xf numFmtId="0" fontId="7" fillId="0" borderId="0" xfId="60" applyFont="1" applyAlignment="1">
      <alignment horizontal="right" vertical="top"/>
      <protection/>
    </xf>
    <xf numFmtId="0" fontId="3" fillId="36" borderId="46" xfId="60" applyFont="1" applyFill="1" applyBorder="1" applyAlignment="1">
      <alignment horizontal="distributed" vertical="center"/>
      <protection/>
    </xf>
    <xf numFmtId="0" fontId="3" fillId="36" borderId="47" xfId="60" applyFont="1" applyFill="1" applyBorder="1" applyAlignment="1">
      <alignment horizontal="distributed" vertical="center"/>
      <protection/>
    </xf>
    <xf numFmtId="0" fontId="8" fillId="0" borderId="0" xfId="60" applyFont="1">
      <alignment/>
      <protection/>
    </xf>
    <xf numFmtId="0" fontId="3" fillId="36" borderId="48" xfId="60" applyFont="1" applyFill="1" applyBorder="1" applyAlignment="1">
      <alignment horizontal="distributed" vertical="center"/>
      <protection/>
    </xf>
    <xf numFmtId="0" fontId="3" fillId="36" borderId="49" xfId="60" applyFont="1" applyFill="1" applyBorder="1" applyAlignment="1">
      <alignment horizontal="distributed" vertical="center"/>
      <protection/>
    </xf>
    <xf numFmtId="0" fontId="5" fillId="36" borderId="50" xfId="60" applyFont="1" applyFill="1" applyBorder="1" applyAlignment="1">
      <alignment horizontal="distributed" vertical="center"/>
      <protection/>
    </xf>
    <xf numFmtId="0" fontId="5" fillId="36" borderId="51" xfId="60" applyFont="1" applyFill="1" applyBorder="1" applyAlignment="1">
      <alignment horizontal="distributed" vertical="center"/>
      <protection/>
    </xf>
    <xf numFmtId="0" fontId="10" fillId="0" borderId="52" xfId="60" applyFont="1" applyFill="1" applyBorder="1" applyAlignment="1">
      <alignment horizontal="distributed" vertical="center"/>
      <protection/>
    </xf>
    <xf numFmtId="0" fontId="10" fillId="0" borderId="53" xfId="60" applyFont="1" applyFill="1" applyBorder="1" applyAlignment="1">
      <alignment horizontal="center" vertical="center"/>
      <protection/>
    </xf>
    <xf numFmtId="0" fontId="3" fillId="36" borderId="54" xfId="60" applyFont="1" applyFill="1" applyBorder="1" applyAlignment="1">
      <alignment horizontal="distributed" vertical="center"/>
      <protection/>
    </xf>
    <xf numFmtId="0" fontId="10" fillId="0" borderId="55" xfId="60" applyFont="1" applyFill="1" applyBorder="1" applyAlignment="1">
      <alignment horizontal="distributed" vertical="center"/>
      <protection/>
    </xf>
    <xf numFmtId="0" fontId="10" fillId="0" borderId="56" xfId="60" applyFont="1" applyFill="1" applyBorder="1" applyAlignment="1">
      <alignment horizontal="center" vertical="center"/>
      <protection/>
    </xf>
    <xf numFmtId="0" fontId="11" fillId="0" borderId="0" xfId="60" applyFont="1">
      <alignment/>
      <protection/>
    </xf>
    <xf numFmtId="0" fontId="5" fillId="0" borderId="57" xfId="60" applyFont="1" applyBorder="1" applyAlignment="1">
      <alignment horizontal="center" vertical="center"/>
      <protection/>
    </xf>
    <xf numFmtId="0" fontId="5" fillId="0" borderId="58" xfId="60" applyFont="1" applyBorder="1" applyAlignment="1">
      <alignment horizontal="center" vertical="center"/>
      <protection/>
    </xf>
    <xf numFmtId="0" fontId="3" fillId="0" borderId="0" xfId="60" applyFont="1" applyBorder="1" applyAlignment="1">
      <alignment horizontal="left" vertical="center"/>
      <protection/>
    </xf>
    <xf numFmtId="0" fontId="0" fillId="0" borderId="0" xfId="60" applyFont="1" applyBorder="1">
      <alignment/>
      <protection/>
    </xf>
    <xf numFmtId="0" fontId="7" fillId="0" borderId="0" xfId="60" applyFont="1" applyAlignment="1">
      <alignment vertical="top"/>
      <protection/>
    </xf>
    <xf numFmtId="0" fontId="3" fillId="0" borderId="43" xfId="60" applyFont="1" applyBorder="1" applyAlignment="1">
      <alignment horizontal="center" vertical="center" wrapText="1"/>
      <protection/>
    </xf>
    <xf numFmtId="0" fontId="6" fillId="34" borderId="31" xfId="60" applyFont="1" applyFill="1" applyBorder="1" applyAlignment="1">
      <alignment horizontal="right" vertical="top"/>
      <protection/>
    </xf>
    <xf numFmtId="0" fontId="6" fillId="34" borderId="45" xfId="60" applyFont="1" applyFill="1" applyBorder="1" applyAlignment="1">
      <alignment horizontal="right" vertical="top"/>
      <protection/>
    </xf>
    <xf numFmtId="0" fontId="10" fillId="0" borderId="59" xfId="60" applyFont="1" applyFill="1" applyBorder="1" applyAlignment="1">
      <alignment horizontal="center" vertical="center"/>
      <protection/>
    </xf>
    <xf numFmtId="0" fontId="10" fillId="0" borderId="60" xfId="60" applyFont="1" applyFill="1" applyBorder="1" applyAlignment="1">
      <alignment horizontal="center" vertical="center"/>
      <protection/>
    </xf>
    <xf numFmtId="0" fontId="5" fillId="0" borderId="61" xfId="60" applyFont="1" applyBorder="1" applyAlignment="1">
      <alignment horizontal="center" vertical="center"/>
      <protection/>
    </xf>
    <xf numFmtId="3" fontId="3" fillId="34" borderId="62" xfId="0" applyNumberFormat="1" applyFont="1" applyFill="1" applyBorder="1" applyAlignment="1">
      <alignment horizontal="right" vertical="center"/>
    </xf>
    <xf numFmtId="3" fontId="3" fillId="34" borderId="63" xfId="0" applyNumberFormat="1" applyFont="1" applyFill="1" applyBorder="1" applyAlignment="1">
      <alignment horizontal="right" vertical="center"/>
    </xf>
    <xf numFmtId="3" fontId="3" fillId="33" borderId="22" xfId="0" applyNumberFormat="1" applyFont="1" applyFill="1" applyBorder="1" applyAlignment="1">
      <alignment horizontal="right" vertical="center"/>
    </xf>
    <xf numFmtId="3" fontId="3" fillId="33" borderId="64" xfId="0" applyNumberFormat="1" applyFont="1" applyFill="1" applyBorder="1" applyAlignment="1">
      <alignment horizontal="right" vertical="center"/>
    </xf>
    <xf numFmtId="3" fontId="5" fillId="34" borderId="63" xfId="0" applyNumberFormat="1" applyFont="1" applyFill="1" applyBorder="1" applyAlignment="1">
      <alignment horizontal="right" vertical="center"/>
    </xf>
    <xf numFmtId="3" fontId="5" fillId="33" borderId="22" xfId="0" applyNumberFormat="1" applyFont="1" applyFill="1" applyBorder="1" applyAlignment="1">
      <alignment horizontal="right" vertical="center"/>
    </xf>
    <xf numFmtId="3" fontId="5" fillId="33" borderId="64" xfId="0" applyNumberFormat="1" applyFont="1" applyFill="1" applyBorder="1" applyAlignment="1">
      <alignment horizontal="right" vertical="center"/>
    </xf>
    <xf numFmtId="3" fontId="3" fillId="34" borderId="65" xfId="0" applyNumberFormat="1" applyFont="1" applyFill="1" applyBorder="1" applyAlignment="1">
      <alignment horizontal="right" vertical="center"/>
    </xf>
    <xf numFmtId="3" fontId="3" fillId="33" borderId="66" xfId="0" applyNumberFormat="1" applyFont="1" applyFill="1" applyBorder="1" applyAlignment="1">
      <alignment horizontal="right" vertical="center"/>
    </xf>
    <xf numFmtId="3" fontId="3" fillId="33" borderId="67" xfId="0" applyNumberFormat="1" applyFont="1" applyFill="1" applyBorder="1" applyAlignment="1">
      <alignment horizontal="right" vertical="center"/>
    </xf>
    <xf numFmtId="3" fontId="3" fillId="34" borderId="68" xfId="0" applyNumberFormat="1" applyFont="1" applyFill="1" applyBorder="1" applyAlignment="1">
      <alignment horizontal="right" vertical="center"/>
    </xf>
    <xf numFmtId="3" fontId="3" fillId="34" borderId="68" xfId="0" applyNumberFormat="1" applyFont="1" applyFill="1" applyBorder="1" applyAlignment="1">
      <alignment vertical="center"/>
    </xf>
    <xf numFmtId="3" fontId="3" fillId="34" borderId="63" xfId="0" applyNumberFormat="1" applyFont="1" applyFill="1" applyBorder="1" applyAlignment="1">
      <alignment vertical="center"/>
    </xf>
    <xf numFmtId="3" fontId="5" fillId="34" borderId="69" xfId="0" applyNumberFormat="1" applyFont="1" applyFill="1" applyBorder="1" applyAlignment="1">
      <alignment horizontal="right" vertical="center"/>
    </xf>
    <xf numFmtId="3" fontId="5" fillId="33" borderId="70" xfId="0" applyNumberFormat="1" applyFont="1" applyFill="1" applyBorder="1" applyAlignment="1">
      <alignment horizontal="right" vertical="center"/>
    </xf>
    <xf numFmtId="3" fontId="5" fillId="33" borderId="71" xfId="0" applyNumberFormat="1" applyFont="1" applyFill="1" applyBorder="1" applyAlignment="1">
      <alignment horizontal="right" vertical="center"/>
    </xf>
    <xf numFmtId="3" fontId="3" fillId="34" borderId="72" xfId="0" applyNumberFormat="1" applyFont="1" applyFill="1" applyBorder="1" applyAlignment="1">
      <alignment horizontal="right" vertical="center"/>
    </xf>
    <xf numFmtId="3" fontId="3" fillId="33" borderId="73" xfId="0" applyNumberFormat="1" applyFont="1" applyFill="1" applyBorder="1" applyAlignment="1">
      <alignment horizontal="right" vertical="center"/>
    </xf>
    <xf numFmtId="3" fontId="3" fillId="33" borderId="74" xfId="0" applyNumberFormat="1" applyFont="1" applyFill="1" applyBorder="1" applyAlignment="1">
      <alignment horizontal="right" vertical="center"/>
    </xf>
    <xf numFmtId="3" fontId="3" fillId="34" borderId="75" xfId="0" applyNumberFormat="1" applyFont="1" applyFill="1" applyBorder="1" applyAlignment="1">
      <alignment horizontal="right" vertical="center" indent="1"/>
    </xf>
    <xf numFmtId="3" fontId="3" fillId="34" borderId="76" xfId="0" applyNumberFormat="1" applyFont="1" applyFill="1" applyBorder="1" applyAlignment="1">
      <alignment horizontal="right" vertical="center" indent="1"/>
    </xf>
    <xf numFmtId="3" fontId="3" fillId="34" borderId="77" xfId="0" applyNumberFormat="1" applyFont="1" applyFill="1" applyBorder="1" applyAlignment="1">
      <alignment horizontal="right" vertical="center" indent="1"/>
    </xf>
    <xf numFmtId="3" fontId="3" fillId="34" borderId="58" xfId="0" applyNumberFormat="1" applyFont="1" applyFill="1" applyBorder="1" applyAlignment="1">
      <alignment horizontal="right" vertical="center" indent="1"/>
    </xf>
    <xf numFmtId="176" fontId="3" fillId="34" borderId="35" xfId="60" applyNumberFormat="1" applyFont="1" applyFill="1" applyBorder="1" applyAlignment="1">
      <alignment horizontal="right" vertical="center"/>
      <protection/>
    </xf>
    <xf numFmtId="176" fontId="3" fillId="33" borderId="32" xfId="60" applyNumberFormat="1" applyFont="1" applyFill="1" applyBorder="1" applyAlignment="1">
      <alignment horizontal="right" vertical="center"/>
      <protection/>
    </xf>
    <xf numFmtId="176" fontId="3" fillId="33" borderId="78" xfId="60" applyNumberFormat="1" applyFont="1" applyFill="1" applyBorder="1" applyAlignment="1">
      <alignment horizontal="right" vertical="center"/>
      <protection/>
    </xf>
    <xf numFmtId="176" fontId="3" fillId="34" borderId="79" xfId="60" applyNumberFormat="1" applyFont="1" applyFill="1" applyBorder="1" applyAlignment="1">
      <alignment horizontal="right" vertical="center"/>
      <protection/>
    </xf>
    <xf numFmtId="176" fontId="3" fillId="33" borderId="22" xfId="60" applyNumberFormat="1" applyFont="1" applyFill="1" applyBorder="1" applyAlignment="1">
      <alignment horizontal="right" vertical="center"/>
      <protection/>
    </xf>
    <xf numFmtId="176" fontId="3" fillId="33" borderId="80" xfId="60" applyNumberFormat="1" applyFont="1" applyFill="1" applyBorder="1" applyAlignment="1">
      <alignment horizontal="right" vertical="center"/>
      <protection/>
    </xf>
    <xf numFmtId="176" fontId="5" fillId="34" borderId="81" xfId="60" applyNumberFormat="1" applyFont="1" applyFill="1" applyBorder="1" applyAlignment="1">
      <alignment horizontal="right" vertical="center"/>
      <protection/>
    </xf>
    <xf numFmtId="176" fontId="5" fillId="33" borderId="82" xfId="60" applyNumberFormat="1" applyFont="1" applyFill="1" applyBorder="1" applyAlignment="1">
      <alignment horizontal="right" vertical="center"/>
      <protection/>
    </xf>
    <xf numFmtId="176" fontId="5" fillId="33" borderId="83" xfId="60" applyNumberFormat="1" applyFont="1" applyFill="1" applyBorder="1" applyAlignment="1">
      <alignment horizontal="right" vertical="center"/>
      <protection/>
    </xf>
    <xf numFmtId="176" fontId="10" fillId="0" borderId="84" xfId="60" applyNumberFormat="1" applyFont="1" applyFill="1" applyBorder="1" applyAlignment="1">
      <alignment horizontal="right" vertical="center"/>
      <protection/>
    </xf>
    <xf numFmtId="176" fontId="10" fillId="0" borderId="85" xfId="60" applyNumberFormat="1" applyFont="1" applyFill="1" applyBorder="1" applyAlignment="1">
      <alignment horizontal="right" vertical="center"/>
      <protection/>
    </xf>
    <xf numFmtId="176" fontId="10" fillId="0" borderId="86" xfId="60" applyNumberFormat="1" applyFont="1" applyFill="1" applyBorder="1" applyAlignment="1">
      <alignment horizontal="right" vertical="center"/>
      <protection/>
    </xf>
    <xf numFmtId="176" fontId="3" fillId="0" borderId="87" xfId="60" applyNumberFormat="1" applyFont="1" applyFill="1" applyBorder="1" applyAlignment="1">
      <alignment horizontal="right" vertical="center"/>
      <protection/>
    </xf>
    <xf numFmtId="176" fontId="3" fillId="0" borderId="88" xfId="60" applyNumberFormat="1" applyFont="1" applyFill="1" applyBorder="1" applyAlignment="1">
      <alignment horizontal="right" vertical="center"/>
      <protection/>
    </xf>
    <xf numFmtId="176" fontId="3" fillId="0" borderId="89" xfId="60" applyNumberFormat="1" applyFont="1" applyFill="1" applyBorder="1" applyAlignment="1">
      <alignment horizontal="right" vertical="center"/>
      <protection/>
    </xf>
    <xf numFmtId="176" fontId="5" fillId="34" borderId="19" xfId="60" applyNumberFormat="1" applyFont="1" applyFill="1" applyBorder="1" applyAlignment="1">
      <alignment horizontal="right" vertical="center"/>
      <protection/>
    </xf>
    <xf numFmtId="176" fontId="5" fillId="33" borderId="73" xfId="60" applyNumberFormat="1" applyFont="1" applyFill="1" applyBorder="1" applyAlignment="1">
      <alignment horizontal="right" vertical="center"/>
      <protection/>
    </xf>
    <xf numFmtId="176" fontId="5" fillId="33" borderId="90" xfId="60" applyNumberFormat="1" applyFont="1" applyFill="1" applyBorder="1" applyAlignment="1">
      <alignment horizontal="right" vertical="center"/>
      <protection/>
    </xf>
    <xf numFmtId="176" fontId="3" fillId="34" borderId="62" xfId="60" applyNumberFormat="1" applyFont="1" applyFill="1" applyBorder="1" applyAlignment="1">
      <alignment horizontal="right" vertical="center"/>
      <protection/>
    </xf>
    <xf numFmtId="176" fontId="3" fillId="34" borderId="78" xfId="60" applyNumberFormat="1" applyFont="1" applyFill="1" applyBorder="1" applyAlignment="1">
      <alignment horizontal="right" vertical="center"/>
      <protection/>
    </xf>
    <xf numFmtId="176" fontId="5" fillId="34" borderId="91" xfId="60" applyNumberFormat="1" applyFont="1" applyFill="1" applyBorder="1" applyAlignment="1">
      <alignment horizontal="right" vertical="center"/>
      <protection/>
    </xf>
    <xf numFmtId="176" fontId="5" fillId="34" borderId="83" xfId="60" applyNumberFormat="1" applyFont="1" applyFill="1" applyBorder="1" applyAlignment="1">
      <alignment horizontal="right" vertical="center"/>
      <protection/>
    </xf>
    <xf numFmtId="176" fontId="3" fillId="0" borderId="92" xfId="60" applyNumberFormat="1" applyFont="1" applyFill="1" applyBorder="1" applyAlignment="1">
      <alignment horizontal="right" vertical="center"/>
      <protection/>
    </xf>
    <xf numFmtId="176" fontId="3" fillId="0" borderId="93" xfId="60" applyNumberFormat="1" applyFont="1" applyFill="1" applyBorder="1" applyAlignment="1">
      <alignment horizontal="right" vertical="center"/>
      <protection/>
    </xf>
    <xf numFmtId="176" fontId="3" fillId="0" borderId="94" xfId="60" applyNumberFormat="1" applyFont="1" applyFill="1" applyBorder="1" applyAlignment="1">
      <alignment horizontal="right" vertical="center"/>
      <protection/>
    </xf>
    <xf numFmtId="176" fontId="3" fillId="0" borderId="95" xfId="60" applyNumberFormat="1" applyFont="1" applyFill="1" applyBorder="1" applyAlignment="1">
      <alignment horizontal="right" vertical="center"/>
      <protection/>
    </xf>
    <xf numFmtId="176" fontId="3" fillId="0" borderId="96" xfId="60" applyNumberFormat="1" applyFont="1" applyFill="1" applyBorder="1" applyAlignment="1">
      <alignment horizontal="right" vertical="center"/>
      <protection/>
    </xf>
    <xf numFmtId="176" fontId="3" fillId="0" borderId="97" xfId="60" applyNumberFormat="1" applyFont="1" applyFill="1" applyBorder="1" applyAlignment="1">
      <alignment horizontal="right" vertical="center"/>
      <protection/>
    </xf>
    <xf numFmtId="176" fontId="5" fillId="34" borderId="98" xfId="60" applyNumberFormat="1" applyFont="1" applyFill="1" applyBorder="1" applyAlignment="1">
      <alignment horizontal="right" vertical="center"/>
      <protection/>
    </xf>
    <xf numFmtId="176" fontId="5" fillId="34" borderId="99" xfId="60" applyNumberFormat="1" applyFont="1" applyFill="1" applyBorder="1" applyAlignment="1">
      <alignment horizontal="right" vertical="center"/>
      <protection/>
    </xf>
    <xf numFmtId="176" fontId="5" fillId="34" borderId="100" xfId="60" applyNumberFormat="1" applyFont="1" applyFill="1" applyBorder="1" applyAlignment="1">
      <alignment horizontal="right" vertical="center"/>
      <protection/>
    </xf>
    <xf numFmtId="0" fontId="4" fillId="0" borderId="0" xfId="0" applyFont="1" applyAlignment="1">
      <alignment horizontal="center" vertical="top"/>
    </xf>
    <xf numFmtId="0" fontId="3" fillId="0" borderId="0" xfId="0" applyFont="1" applyAlignment="1">
      <alignment horizontal="left" vertical="top"/>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left" vertical="top" wrapText="1"/>
    </xf>
    <xf numFmtId="0" fontId="3" fillId="0" borderId="109" xfId="0" applyFont="1" applyBorder="1" applyAlignment="1">
      <alignment horizontal="distributed" vertical="center" wrapText="1"/>
    </xf>
    <xf numFmtId="0" fontId="3" fillId="0" borderId="109" xfId="0" applyFont="1" applyBorder="1" applyAlignment="1">
      <alignment horizontal="distributed" vertical="center"/>
    </xf>
    <xf numFmtId="0" fontId="3" fillId="0" borderId="110" xfId="0" applyFont="1" applyBorder="1" applyAlignment="1">
      <alignment horizontal="distributed" vertical="center"/>
    </xf>
    <xf numFmtId="0" fontId="3" fillId="0" borderId="111" xfId="0" applyFont="1" applyBorder="1" applyAlignment="1">
      <alignment horizontal="distributed" vertical="center" wrapText="1"/>
    </xf>
    <xf numFmtId="0" fontId="3" fillId="0" borderId="112" xfId="0" applyFont="1" applyBorder="1" applyAlignment="1">
      <alignment horizontal="distributed" vertical="center"/>
    </xf>
    <xf numFmtId="0" fontId="5" fillId="0" borderId="113" xfId="0" applyFont="1" applyBorder="1" applyAlignment="1">
      <alignment horizontal="distributed" vertical="center"/>
    </xf>
    <xf numFmtId="0" fontId="5" fillId="0" borderId="114" xfId="0" applyFont="1" applyBorder="1" applyAlignment="1">
      <alignment horizontal="distributed" vertical="center"/>
    </xf>
    <xf numFmtId="0" fontId="3" fillId="0" borderId="57" xfId="0" applyFont="1" applyBorder="1" applyAlignment="1">
      <alignment horizontal="distributed" vertical="center"/>
    </xf>
    <xf numFmtId="0" fontId="3" fillId="0" borderId="115" xfId="0" applyFont="1" applyBorder="1" applyAlignment="1">
      <alignment horizontal="distributed" vertical="center"/>
    </xf>
    <xf numFmtId="0" fontId="3" fillId="0" borderId="40" xfId="0" applyFont="1" applyBorder="1" applyAlignment="1">
      <alignment horizontal="left" vertical="top" wrapText="1"/>
    </xf>
    <xf numFmtId="0" fontId="3" fillId="0" borderId="116" xfId="0" applyFont="1" applyBorder="1" applyAlignment="1">
      <alignment horizontal="center" vertical="center"/>
    </xf>
    <xf numFmtId="0" fontId="3" fillId="0" borderId="40" xfId="0" applyFont="1" applyBorder="1" applyAlignment="1">
      <alignment horizontal="center" vertical="center"/>
    </xf>
    <xf numFmtId="0" fontId="3" fillId="0" borderId="117" xfId="0" applyFont="1" applyBorder="1" applyAlignment="1">
      <alignment horizontal="center" vertical="center"/>
    </xf>
    <xf numFmtId="0" fontId="3" fillId="0" borderId="111"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10" xfId="0" applyFont="1" applyBorder="1" applyAlignment="1">
      <alignment horizontal="center" vertical="center"/>
    </xf>
    <xf numFmtId="0" fontId="3" fillId="0" borderId="40" xfId="0" applyFont="1" applyBorder="1" applyAlignment="1">
      <alignment horizontal="left" vertical="center"/>
    </xf>
    <xf numFmtId="0" fontId="3" fillId="0" borderId="0" xfId="0" applyFont="1" applyAlignment="1">
      <alignment horizontal="left" vertical="center"/>
    </xf>
    <xf numFmtId="0" fontId="3" fillId="0" borderId="40" xfId="60" applyFont="1" applyBorder="1" applyAlignment="1">
      <alignment horizontal="left" vertical="center"/>
      <protection/>
    </xf>
    <xf numFmtId="0" fontId="3" fillId="0" borderId="122"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124" xfId="60" applyFont="1" applyBorder="1" applyAlignment="1">
      <alignment horizontal="center" vertical="center"/>
      <protection/>
    </xf>
    <xf numFmtId="0" fontId="3" fillId="0" borderId="125" xfId="60" applyFont="1" applyBorder="1" applyAlignment="1">
      <alignment horizontal="center" vertical="center"/>
      <protection/>
    </xf>
    <xf numFmtId="0" fontId="3" fillId="0" borderId="0" xfId="60" applyFont="1" applyAlignment="1">
      <alignment horizontal="left" vertical="center"/>
      <protection/>
    </xf>
    <xf numFmtId="0" fontId="3" fillId="0" borderId="101" xfId="60" applyFont="1" applyBorder="1" applyAlignment="1">
      <alignment horizontal="distributed" vertical="center"/>
      <protection/>
    </xf>
    <xf numFmtId="0" fontId="3" fillId="0" borderId="103" xfId="60" applyFont="1" applyBorder="1" applyAlignment="1">
      <alignment horizontal="distributed" vertical="center"/>
      <protection/>
    </xf>
    <xf numFmtId="0" fontId="3" fillId="0" borderId="126" xfId="60" applyFont="1" applyBorder="1" applyAlignment="1">
      <alignment horizontal="distributed" vertical="center"/>
      <protection/>
    </xf>
    <xf numFmtId="0" fontId="3" fillId="0" borderId="127" xfId="60" applyFont="1" applyBorder="1" applyAlignment="1">
      <alignment horizontal="center" vertical="center"/>
      <protection/>
    </xf>
    <xf numFmtId="0" fontId="3" fillId="0" borderId="122" xfId="60" applyFont="1" applyBorder="1" applyAlignment="1">
      <alignment horizontal="center" vertical="center" wrapText="1"/>
      <protection/>
    </xf>
    <xf numFmtId="0" fontId="3" fillId="0" borderId="41" xfId="60" applyFont="1" applyBorder="1" applyAlignment="1">
      <alignment horizontal="distributed" vertical="center" wrapText="1"/>
      <protection/>
    </xf>
    <xf numFmtId="0" fontId="3" fillId="0" borderId="128" xfId="60" applyFont="1" applyBorder="1" applyAlignment="1">
      <alignment horizontal="distributed" vertical="center" wrapText="1"/>
      <protection/>
    </xf>
    <xf numFmtId="0" fontId="3" fillId="0" borderId="129" xfId="60" applyFont="1" applyBorder="1" applyAlignment="1">
      <alignment horizontal="distributed" vertical="center" wrapText="1"/>
      <protection/>
    </xf>
    <xf numFmtId="0" fontId="3" fillId="0" borderId="130" xfId="60" applyFont="1" applyBorder="1" applyAlignment="1">
      <alignment horizontal="center" vertical="center"/>
      <protection/>
    </xf>
    <xf numFmtId="0" fontId="3" fillId="0" borderId="131" xfId="60" applyFont="1" applyBorder="1" applyAlignment="1">
      <alignment horizontal="center" vertical="center"/>
      <protection/>
    </xf>
    <xf numFmtId="0" fontId="3" fillId="0" borderId="132" xfId="60" applyFont="1" applyBorder="1" applyAlignment="1">
      <alignment horizontal="left" vertical="center"/>
      <protection/>
    </xf>
    <xf numFmtId="0" fontId="3" fillId="0" borderId="127" xfId="60" applyFont="1" applyBorder="1" applyAlignment="1">
      <alignment horizontal="center" vertical="center" wrapText="1"/>
      <protection/>
    </xf>
    <xf numFmtId="0" fontId="3" fillId="0" borderId="133" xfId="60" applyFont="1" applyBorder="1" applyAlignment="1">
      <alignment horizontal="center" vertical="center"/>
      <protection/>
    </xf>
    <xf numFmtId="0" fontId="3" fillId="0" borderId="134" xfId="60" applyFont="1" applyBorder="1" applyAlignment="1">
      <alignment horizontal="center" vertical="center"/>
      <protection/>
    </xf>
    <xf numFmtId="0" fontId="12" fillId="0" borderId="135" xfId="60" applyFont="1" applyBorder="1" applyAlignment="1">
      <alignment horizontal="distributed" vertical="center" wrapText="1"/>
      <protection/>
    </xf>
    <xf numFmtId="0" fontId="47" fillId="0" borderId="136" xfId="61" applyFont="1" applyBorder="1" applyAlignment="1">
      <alignment horizontal="distributed" vertical="center"/>
      <protection/>
    </xf>
    <xf numFmtId="0" fontId="12" fillId="0" borderId="137" xfId="60" applyFont="1" applyBorder="1" applyAlignment="1">
      <alignment horizontal="distributed" vertical="center" wrapText="1"/>
      <protection/>
    </xf>
    <xf numFmtId="0" fontId="12" fillId="0" borderId="138" xfId="60" applyFont="1" applyBorder="1" applyAlignment="1">
      <alignment horizontal="distributed" vertical="center"/>
      <protection/>
    </xf>
    <xf numFmtId="0" fontId="12" fillId="0" borderId="139" xfId="60" applyFont="1" applyBorder="1" applyAlignment="1">
      <alignment horizontal="distributed" vertical="center" wrapText="1"/>
      <protection/>
    </xf>
    <xf numFmtId="0" fontId="12" fillId="0" borderId="140" xfId="60" applyFont="1" applyBorder="1" applyAlignment="1">
      <alignment horizontal="distributed" vertical="center" wrapText="1"/>
      <protection/>
    </xf>
    <xf numFmtId="0" fontId="3" fillId="0" borderId="44"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57" t="s">
        <v>0</v>
      </c>
      <c r="B1" s="157"/>
      <c r="C1" s="157"/>
      <c r="D1" s="157"/>
      <c r="E1" s="157"/>
      <c r="F1" s="157"/>
      <c r="G1" s="157"/>
      <c r="H1" s="157"/>
      <c r="I1" s="157"/>
      <c r="J1" s="157"/>
      <c r="K1" s="157"/>
    </row>
    <row r="2" spans="1:11" ht="15">
      <c r="A2" s="57"/>
      <c r="B2" s="57"/>
      <c r="C2" s="57"/>
      <c r="D2" s="57"/>
      <c r="E2" s="57"/>
      <c r="F2" s="57"/>
      <c r="G2" s="57"/>
      <c r="H2" s="57"/>
      <c r="I2" s="57"/>
      <c r="J2" s="57"/>
      <c r="K2" s="57"/>
    </row>
    <row r="3" spans="1:11" ht="12" thickBot="1">
      <c r="A3" s="158" t="s">
        <v>145</v>
      </c>
      <c r="B3" s="158"/>
      <c r="C3" s="158"/>
      <c r="D3" s="158"/>
      <c r="E3" s="158"/>
      <c r="F3" s="158"/>
      <c r="G3" s="158"/>
      <c r="H3" s="158"/>
      <c r="I3" s="158"/>
      <c r="J3" s="158"/>
      <c r="K3" s="158"/>
    </row>
    <row r="4" spans="1:11" ht="24" customHeight="1">
      <c r="A4" s="159" t="s">
        <v>1</v>
      </c>
      <c r="B4" s="160"/>
      <c r="C4" s="163" t="s">
        <v>146</v>
      </c>
      <c r="D4" s="164"/>
      <c r="E4" s="165"/>
      <c r="F4" s="163" t="s">
        <v>147</v>
      </c>
      <c r="G4" s="164"/>
      <c r="H4" s="165"/>
      <c r="I4" s="163" t="s">
        <v>148</v>
      </c>
      <c r="J4" s="164"/>
      <c r="K4" s="166"/>
    </row>
    <row r="5" spans="1:11" ht="24" customHeight="1">
      <c r="A5" s="161"/>
      <c r="B5" s="162"/>
      <c r="C5" s="167" t="s">
        <v>2</v>
      </c>
      <c r="D5" s="168"/>
      <c r="E5" s="6" t="s">
        <v>3</v>
      </c>
      <c r="F5" s="167" t="s">
        <v>2</v>
      </c>
      <c r="G5" s="168"/>
      <c r="H5" s="6" t="s">
        <v>3</v>
      </c>
      <c r="I5" s="167" t="s">
        <v>2</v>
      </c>
      <c r="J5" s="168"/>
      <c r="K5" s="14" t="s">
        <v>3</v>
      </c>
    </row>
    <row r="6" spans="1:11" ht="12" customHeight="1">
      <c r="A6" s="43"/>
      <c r="B6" s="46"/>
      <c r="C6" s="44"/>
      <c r="D6" s="36" t="s">
        <v>23</v>
      </c>
      <c r="E6" s="35" t="s">
        <v>22</v>
      </c>
      <c r="F6" s="44"/>
      <c r="G6" s="36" t="s">
        <v>23</v>
      </c>
      <c r="H6" s="35" t="s">
        <v>22</v>
      </c>
      <c r="I6" s="44"/>
      <c r="J6" s="36" t="s">
        <v>23</v>
      </c>
      <c r="K6" s="45" t="s">
        <v>22</v>
      </c>
    </row>
    <row r="7" spans="1:11" ht="30" customHeight="1">
      <c r="A7" s="170" t="s">
        <v>149</v>
      </c>
      <c r="B7" s="40" t="s">
        <v>150</v>
      </c>
      <c r="C7" s="15"/>
      <c r="D7" s="103">
        <v>53567</v>
      </c>
      <c r="E7" s="41">
        <v>21637471</v>
      </c>
      <c r="F7" s="18"/>
      <c r="G7" s="103">
        <v>162488</v>
      </c>
      <c r="H7" s="41">
        <v>688187246</v>
      </c>
      <c r="I7" s="18"/>
      <c r="J7" s="103">
        <v>216055</v>
      </c>
      <c r="K7" s="42">
        <v>709824718</v>
      </c>
    </row>
    <row r="8" spans="1:11" ht="30" customHeight="1">
      <c r="A8" s="171"/>
      <c r="B8" s="23" t="s">
        <v>151</v>
      </c>
      <c r="C8" s="15"/>
      <c r="D8" s="104">
        <v>99724</v>
      </c>
      <c r="E8" s="105">
        <v>25952648</v>
      </c>
      <c r="F8" s="18"/>
      <c r="G8" s="104">
        <v>79823</v>
      </c>
      <c r="H8" s="105">
        <v>29253018</v>
      </c>
      <c r="I8" s="18"/>
      <c r="J8" s="104">
        <v>179547</v>
      </c>
      <c r="K8" s="106">
        <v>55205666</v>
      </c>
    </row>
    <row r="9" spans="1:11" s="3" customFormat="1" ht="30" customHeight="1">
      <c r="A9" s="171"/>
      <c r="B9" s="24" t="s">
        <v>152</v>
      </c>
      <c r="C9" s="16"/>
      <c r="D9" s="107">
        <v>153291</v>
      </c>
      <c r="E9" s="108">
        <v>47590119</v>
      </c>
      <c r="F9" s="16"/>
      <c r="G9" s="107">
        <v>242311</v>
      </c>
      <c r="H9" s="108">
        <v>717440265</v>
      </c>
      <c r="I9" s="16"/>
      <c r="J9" s="107">
        <v>395602</v>
      </c>
      <c r="K9" s="109">
        <v>765030384</v>
      </c>
    </row>
    <row r="10" spans="1:11" ht="30" customHeight="1">
      <c r="A10" s="172"/>
      <c r="B10" s="25" t="s">
        <v>153</v>
      </c>
      <c r="C10" s="15"/>
      <c r="D10" s="110">
        <v>3643</v>
      </c>
      <c r="E10" s="111">
        <v>1892722</v>
      </c>
      <c r="F10" s="15"/>
      <c r="G10" s="110">
        <v>10077</v>
      </c>
      <c r="H10" s="111">
        <v>55777195</v>
      </c>
      <c r="I10" s="15"/>
      <c r="J10" s="110">
        <v>13720</v>
      </c>
      <c r="K10" s="112">
        <v>57669916</v>
      </c>
    </row>
    <row r="11" spans="1:11" ht="30" customHeight="1">
      <c r="A11" s="173" t="s">
        <v>154</v>
      </c>
      <c r="B11" s="58" t="s">
        <v>155</v>
      </c>
      <c r="C11" s="9"/>
      <c r="D11" s="113">
        <v>11105</v>
      </c>
      <c r="E11" s="20">
        <v>1735595</v>
      </c>
      <c r="F11" s="37"/>
      <c r="G11" s="114">
        <v>13183</v>
      </c>
      <c r="H11" s="20">
        <v>3169752</v>
      </c>
      <c r="I11" s="37"/>
      <c r="J11" s="114">
        <v>24288</v>
      </c>
      <c r="K11" s="21">
        <v>4905346</v>
      </c>
    </row>
    <row r="12" spans="1:11" ht="30" customHeight="1">
      <c r="A12" s="174"/>
      <c r="B12" s="59" t="s">
        <v>156</v>
      </c>
      <c r="C12" s="38"/>
      <c r="D12" s="104">
        <v>1112</v>
      </c>
      <c r="E12" s="105">
        <v>180851</v>
      </c>
      <c r="F12" s="39"/>
      <c r="G12" s="115">
        <v>1573</v>
      </c>
      <c r="H12" s="105">
        <v>1960336</v>
      </c>
      <c r="I12" s="39"/>
      <c r="J12" s="115">
        <v>2685</v>
      </c>
      <c r="K12" s="106">
        <v>2141187</v>
      </c>
    </row>
    <row r="13" spans="1:11" s="3" customFormat="1" ht="30" customHeight="1">
      <c r="A13" s="175" t="s">
        <v>6</v>
      </c>
      <c r="B13" s="176"/>
      <c r="C13" s="26" t="s">
        <v>14</v>
      </c>
      <c r="D13" s="116">
        <v>162614</v>
      </c>
      <c r="E13" s="117">
        <v>47252142</v>
      </c>
      <c r="F13" s="26" t="s">
        <v>14</v>
      </c>
      <c r="G13" s="116">
        <v>254157</v>
      </c>
      <c r="H13" s="117">
        <v>662872485</v>
      </c>
      <c r="I13" s="26" t="s">
        <v>14</v>
      </c>
      <c r="J13" s="116">
        <v>416771</v>
      </c>
      <c r="K13" s="118">
        <v>710124627</v>
      </c>
    </row>
    <row r="14" spans="1:11" ht="30" customHeight="1" thickBot="1">
      <c r="A14" s="177" t="s">
        <v>7</v>
      </c>
      <c r="B14" s="178"/>
      <c r="C14" s="17"/>
      <c r="D14" s="119">
        <v>10222</v>
      </c>
      <c r="E14" s="120">
        <v>307701</v>
      </c>
      <c r="F14" s="19"/>
      <c r="G14" s="119">
        <v>9204</v>
      </c>
      <c r="H14" s="120">
        <v>496787</v>
      </c>
      <c r="I14" s="19"/>
      <c r="J14" s="119">
        <v>19426</v>
      </c>
      <c r="K14" s="121">
        <v>804488</v>
      </c>
    </row>
    <row r="15" spans="1:11" s="4" customFormat="1" ht="37.5" customHeight="1">
      <c r="A15" s="56" t="s">
        <v>143</v>
      </c>
      <c r="B15" s="179" t="s">
        <v>139</v>
      </c>
      <c r="C15" s="179"/>
      <c r="D15" s="179"/>
      <c r="E15" s="179"/>
      <c r="F15" s="179"/>
      <c r="G15" s="179"/>
      <c r="H15" s="179"/>
      <c r="I15" s="179"/>
      <c r="J15" s="179"/>
      <c r="K15" s="179"/>
    </row>
    <row r="16" spans="2:11" ht="45" customHeight="1">
      <c r="B16" s="169" t="s">
        <v>144</v>
      </c>
      <c r="C16" s="169"/>
      <c r="D16" s="169"/>
      <c r="E16" s="169"/>
      <c r="F16" s="169"/>
      <c r="G16" s="169"/>
      <c r="H16" s="169"/>
      <c r="I16" s="169"/>
      <c r="J16" s="169"/>
      <c r="K16" s="169"/>
    </row>
    <row r="17" ht="14.25" customHeight="1">
      <c r="A17" s="1" t="s">
        <v>165</v>
      </c>
    </row>
    <row r="18" ht="11.25">
      <c r="A18" s="62" t="s">
        <v>166</v>
      </c>
    </row>
  </sheetData>
  <sheetProtection/>
  <mergeCells count="15">
    <mergeCell ref="B16:K16"/>
    <mergeCell ref="A7:A10"/>
    <mergeCell ref="A11:A12"/>
    <mergeCell ref="A13:B13"/>
    <mergeCell ref="A14:B14"/>
    <mergeCell ref="B15:K15"/>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(H25)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61" customWidth="1"/>
    <col min="2" max="2" width="15.625" style="61" customWidth="1"/>
    <col min="3" max="3" width="8.625" style="61" customWidth="1"/>
    <col min="4" max="4" width="10.625" style="61" customWidth="1"/>
    <col min="5" max="5" width="8.625" style="61" customWidth="1"/>
    <col min="6" max="6" width="12.875" style="61" bestFit="1" customWidth="1"/>
    <col min="7" max="7" width="8.625" style="61" customWidth="1"/>
    <col min="8" max="8" width="12.875" style="61" bestFit="1" customWidth="1"/>
    <col min="9" max="16384" width="9.00390625" style="61" customWidth="1"/>
  </cols>
  <sheetData>
    <row r="1" s="1" customFormat="1" ht="12" thickBot="1">
      <c r="A1" s="1" t="s">
        <v>24</v>
      </c>
    </row>
    <row r="2" spans="1:8" s="1" customFormat="1" ht="15" customHeight="1">
      <c r="A2" s="159" t="s">
        <v>1</v>
      </c>
      <c r="B2" s="160"/>
      <c r="C2" s="180" t="s">
        <v>15</v>
      </c>
      <c r="D2" s="180"/>
      <c r="E2" s="180" t="s">
        <v>17</v>
      </c>
      <c r="F2" s="180"/>
      <c r="G2" s="181" t="s">
        <v>18</v>
      </c>
      <c r="H2" s="182"/>
    </row>
    <row r="3" spans="1:8" s="1" customFormat="1" ht="15" customHeight="1">
      <c r="A3" s="161"/>
      <c r="B3" s="162"/>
      <c r="C3" s="9" t="s">
        <v>19</v>
      </c>
      <c r="D3" s="6" t="s">
        <v>20</v>
      </c>
      <c r="E3" s="9" t="s">
        <v>19</v>
      </c>
      <c r="F3" s="7" t="s">
        <v>20</v>
      </c>
      <c r="G3" s="9" t="s">
        <v>19</v>
      </c>
      <c r="H3" s="8" t="s">
        <v>20</v>
      </c>
    </row>
    <row r="4" spans="1:8" s="10" customFormat="1" ht="15" customHeight="1">
      <c r="A4" s="48"/>
      <c r="B4" s="6"/>
      <c r="C4" s="49" t="s">
        <v>4</v>
      </c>
      <c r="D4" s="50" t="s">
        <v>5</v>
      </c>
      <c r="E4" s="49" t="s">
        <v>4</v>
      </c>
      <c r="F4" s="50" t="s">
        <v>5</v>
      </c>
      <c r="G4" s="49" t="s">
        <v>4</v>
      </c>
      <c r="H4" s="51" t="s">
        <v>5</v>
      </c>
    </row>
    <row r="5" spans="1:8" s="60" customFormat="1" ht="30" customHeight="1">
      <c r="A5" s="185" t="s">
        <v>140</v>
      </c>
      <c r="B5" s="40" t="s">
        <v>12</v>
      </c>
      <c r="C5" s="47">
        <v>189262</v>
      </c>
      <c r="D5" s="41">
        <v>52109130</v>
      </c>
      <c r="E5" s="47">
        <v>258138</v>
      </c>
      <c r="F5" s="41">
        <v>727510099</v>
      </c>
      <c r="G5" s="47">
        <v>447400</v>
      </c>
      <c r="H5" s="42">
        <v>779619229</v>
      </c>
    </row>
    <row r="6" spans="1:8" s="60" customFormat="1" ht="30" customHeight="1">
      <c r="A6" s="186"/>
      <c r="B6" s="25" t="s">
        <v>13</v>
      </c>
      <c r="C6" s="28">
        <v>4843</v>
      </c>
      <c r="D6" s="29">
        <v>3931892</v>
      </c>
      <c r="E6" s="28">
        <v>10347</v>
      </c>
      <c r="F6" s="29">
        <v>45033535</v>
      </c>
      <c r="G6" s="28">
        <v>15190</v>
      </c>
      <c r="H6" s="30">
        <v>48965426</v>
      </c>
    </row>
    <row r="7" spans="1:8" s="60" customFormat="1" ht="30" customHeight="1">
      <c r="A7" s="187" t="s">
        <v>25</v>
      </c>
      <c r="B7" s="22" t="s">
        <v>12</v>
      </c>
      <c r="C7" s="27">
        <v>180059</v>
      </c>
      <c r="D7" s="20">
        <v>50344418</v>
      </c>
      <c r="E7" s="27">
        <v>252610</v>
      </c>
      <c r="F7" s="20">
        <v>715052639</v>
      </c>
      <c r="G7" s="27">
        <v>432669</v>
      </c>
      <c r="H7" s="21">
        <v>765397057</v>
      </c>
    </row>
    <row r="8" spans="1:8" s="60" customFormat="1" ht="30" customHeight="1">
      <c r="A8" s="188"/>
      <c r="B8" s="25" t="s">
        <v>13</v>
      </c>
      <c r="C8" s="28">
        <v>3935</v>
      </c>
      <c r="D8" s="29">
        <v>2582616</v>
      </c>
      <c r="E8" s="28">
        <v>9896</v>
      </c>
      <c r="F8" s="29">
        <v>50431758</v>
      </c>
      <c r="G8" s="28">
        <v>13831</v>
      </c>
      <c r="H8" s="30">
        <v>53014374</v>
      </c>
    </row>
    <row r="9" spans="1:8" s="60" customFormat="1" ht="30" customHeight="1">
      <c r="A9" s="183" t="s">
        <v>26</v>
      </c>
      <c r="B9" s="22" t="s">
        <v>12</v>
      </c>
      <c r="C9" s="27">
        <v>161653</v>
      </c>
      <c r="D9" s="20">
        <v>47588245</v>
      </c>
      <c r="E9" s="27">
        <v>247081</v>
      </c>
      <c r="F9" s="20">
        <v>713005917</v>
      </c>
      <c r="G9" s="27">
        <v>408734</v>
      </c>
      <c r="H9" s="21">
        <v>760594162</v>
      </c>
    </row>
    <row r="10" spans="1:8" s="60" customFormat="1" ht="30" customHeight="1">
      <c r="A10" s="186"/>
      <c r="B10" s="25" t="s">
        <v>13</v>
      </c>
      <c r="C10" s="28">
        <v>3599</v>
      </c>
      <c r="D10" s="29">
        <v>1816607</v>
      </c>
      <c r="E10" s="28">
        <v>9339</v>
      </c>
      <c r="F10" s="29">
        <v>47610584</v>
      </c>
      <c r="G10" s="28">
        <v>12938</v>
      </c>
      <c r="H10" s="30">
        <v>49427191</v>
      </c>
    </row>
    <row r="11" spans="1:8" s="60" customFormat="1" ht="30" customHeight="1">
      <c r="A11" s="183" t="s">
        <v>138</v>
      </c>
      <c r="B11" s="22" t="s">
        <v>12</v>
      </c>
      <c r="C11" s="27">
        <v>154864</v>
      </c>
      <c r="D11" s="20">
        <v>47325149</v>
      </c>
      <c r="E11" s="27">
        <v>243582</v>
      </c>
      <c r="F11" s="20">
        <v>714900303</v>
      </c>
      <c r="G11" s="27">
        <v>398446</v>
      </c>
      <c r="H11" s="21">
        <v>762225451</v>
      </c>
    </row>
    <row r="12" spans="1:8" s="60" customFormat="1" ht="30" customHeight="1">
      <c r="A12" s="186"/>
      <c r="B12" s="25" t="s">
        <v>13</v>
      </c>
      <c r="C12" s="28">
        <v>3358</v>
      </c>
      <c r="D12" s="29">
        <v>1678378</v>
      </c>
      <c r="E12" s="28">
        <v>9239</v>
      </c>
      <c r="F12" s="29">
        <v>47702366</v>
      </c>
      <c r="G12" s="28">
        <v>12597</v>
      </c>
      <c r="H12" s="30">
        <v>49380744</v>
      </c>
    </row>
    <row r="13" spans="1:8" s="1" customFormat="1" ht="30" customHeight="1">
      <c r="A13" s="183" t="s">
        <v>141</v>
      </c>
      <c r="B13" s="22" t="s">
        <v>12</v>
      </c>
      <c r="C13" s="27">
        <v>153291</v>
      </c>
      <c r="D13" s="20">
        <v>47590119</v>
      </c>
      <c r="E13" s="27">
        <v>242311</v>
      </c>
      <c r="F13" s="20">
        <v>717440265</v>
      </c>
      <c r="G13" s="27">
        <v>395602</v>
      </c>
      <c r="H13" s="21">
        <v>765030384</v>
      </c>
    </row>
    <row r="14" spans="1:8" s="1" customFormat="1" ht="30" customHeight="1" thickBot="1">
      <c r="A14" s="184"/>
      <c r="B14" s="31" t="s">
        <v>13</v>
      </c>
      <c r="C14" s="32">
        <v>3643</v>
      </c>
      <c r="D14" s="33">
        <v>1892722</v>
      </c>
      <c r="E14" s="32">
        <v>10077</v>
      </c>
      <c r="F14" s="33">
        <v>55777195</v>
      </c>
      <c r="G14" s="32">
        <v>13720</v>
      </c>
      <c r="H14" s="34">
        <v>57669916</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(H25)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61" customWidth="1"/>
    <col min="3" max="3" width="23.625" style="61" customWidth="1"/>
    <col min="4" max="4" width="18.625" style="61" customWidth="1"/>
    <col min="5" max="16384" width="9.00390625" style="61" customWidth="1"/>
  </cols>
  <sheetData>
    <row r="1" s="1" customFormat="1" ht="20.25" customHeight="1" thickBot="1">
      <c r="A1" s="1" t="s">
        <v>21</v>
      </c>
    </row>
    <row r="2" spans="1:4" s="4" customFormat="1" ht="19.5" customHeight="1">
      <c r="A2" s="11" t="s">
        <v>8</v>
      </c>
      <c r="B2" s="12" t="s">
        <v>9</v>
      </c>
      <c r="C2" s="13" t="s">
        <v>10</v>
      </c>
      <c r="D2" s="63" t="s">
        <v>27</v>
      </c>
    </row>
    <row r="3" spans="1:4" s="10" customFormat="1" ht="15" customHeight="1">
      <c r="A3" s="52" t="s">
        <v>4</v>
      </c>
      <c r="B3" s="53" t="s">
        <v>4</v>
      </c>
      <c r="C3" s="54" t="s">
        <v>4</v>
      </c>
      <c r="D3" s="55" t="s">
        <v>4</v>
      </c>
    </row>
    <row r="4" spans="1:9" s="4" customFormat="1" ht="30" customHeight="1" thickBot="1">
      <c r="A4" s="122">
        <v>417193</v>
      </c>
      <c r="B4" s="123">
        <v>9007</v>
      </c>
      <c r="C4" s="124">
        <v>1040</v>
      </c>
      <c r="D4" s="125">
        <v>427240</v>
      </c>
      <c r="E4" s="5"/>
      <c r="G4" s="5"/>
      <c r="I4" s="5"/>
    </row>
    <row r="5" spans="1:4" s="4" customFormat="1" ht="15" customHeight="1">
      <c r="A5" s="189" t="s">
        <v>142</v>
      </c>
      <c r="B5" s="189"/>
      <c r="C5" s="189"/>
      <c r="D5" s="189"/>
    </row>
    <row r="6" spans="1:4" s="4" customFormat="1" ht="15" customHeight="1">
      <c r="A6" s="190" t="s">
        <v>11</v>
      </c>
      <c r="B6" s="190"/>
      <c r="C6" s="190"/>
      <c r="D6" s="190"/>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消費税
(H25)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97"/>
  <sheetViews>
    <sheetView zoomScale="85" zoomScaleNormal="85" zoomScalePageLayoutView="0" workbookViewId="0" topLeftCell="A1">
      <selection activeCell="A1" sqref="A1"/>
    </sheetView>
  </sheetViews>
  <sheetFormatPr defaultColWidth="9.00390625" defaultRowHeight="13.5"/>
  <cols>
    <col min="1" max="1" width="11.375" style="66" customWidth="1"/>
    <col min="2" max="2" width="10.625" style="66" customWidth="1"/>
    <col min="3" max="3" width="12.625" style="66" customWidth="1"/>
    <col min="4" max="4" width="10.625" style="66" customWidth="1"/>
    <col min="5" max="5" width="12.625" style="66" customWidth="1"/>
    <col min="6" max="6" width="10.625" style="66" customWidth="1"/>
    <col min="7" max="7" width="12.625" style="66" customWidth="1"/>
    <col min="8" max="8" width="10.625" style="66" customWidth="1"/>
    <col min="9" max="9" width="12.625" style="66" customWidth="1"/>
    <col min="10" max="10" width="10.625" style="66" customWidth="1"/>
    <col min="11" max="11" width="12.625" style="66" customWidth="1"/>
    <col min="12" max="12" width="10.625" style="66" customWidth="1"/>
    <col min="13" max="13" width="12.625" style="66" customWidth="1"/>
    <col min="14" max="14" width="11.375" style="66" customWidth="1"/>
    <col min="15" max="16384" width="9.00390625" style="66" customWidth="1"/>
  </cols>
  <sheetData>
    <row r="1" spans="1:14" ht="13.5">
      <c r="A1" s="64" t="s">
        <v>28</v>
      </c>
      <c r="B1" s="64"/>
      <c r="C1" s="64"/>
      <c r="D1" s="64"/>
      <c r="E1" s="64"/>
      <c r="F1" s="64"/>
      <c r="G1" s="64"/>
      <c r="H1" s="65"/>
      <c r="I1" s="65"/>
      <c r="J1" s="65"/>
      <c r="K1" s="65"/>
      <c r="L1" s="65"/>
      <c r="M1" s="65"/>
      <c r="N1" s="65"/>
    </row>
    <row r="2" spans="1:14" ht="14.25" thickBot="1">
      <c r="A2" s="196" t="s">
        <v>29</v>
      </c>
      <c r="B2" s="196"/>
      <c r="C2" s="196"/>
      <c r="D2" s="196"/>
      <c r="E2" s="196"/>
      <c r="F2" s="196"/>
      <c r="G2" s="196"/>
      <c r="H2" s="65"/>
      <c r="I2" s="65"/>
      <c r="J2" s="65"/>
      <c r="K2" s="65"/>
      <c r="L2" s="65"/>
      <c r="M2" s="65"/>
      <c r="N2" s="65"/>
    </row>
    <row r="3" spans="1:14" ht="19.5" customHeight="1">
      <c r="A3" s="197" t="s">
        <v>30</v>
      </c>
      <c r="B3" s="200" t="s">
        <v>31</v>
      </c>
      <c r="C3" s="200"/>
      <c r="D3" s="200"/>
      <c r="E3" s="200"/>
      <c r="F3" s="200"/>
      <c r="G3" s="200"/>
      <c r="H3" s="192" t="s">
        <v>13</v>
      </c>
      <c r="I3" s="193"/>
      <c r="J3" s="201" t="s">
        <v>32</v>
      </c>
      <c r="K3" s="193"/>
      <c r="L3" s="192" t="s">
        <v>33</v>
      </c>
      <c r="M3" s="193"/>
      <c r="N3" s="202" t="s">
        <v>34</v>
      </c>
    </row>
    <row r="4" spans="1:14" ht="17.25" customHeight="1">
      <c r="A4" s="198"/>
      <c r="B4" s="205" t="s">
        <v>16</v>
      </c>
      <c r="C4" s="205"/>
      <c r="D4" s="194" t="s">
        <v>35</v>
      </c>
      <c r="E4" s="206"/>
      <c r="F4" s="194" t="s">
        <v>36</v>
      </c>
      <c r="G4" s="206"/>
      <c r="H4" s="194"/>
      <c r="I4" s="195"/>
      <c r="J4" s="194"/>
      <c r="K4" s="195"/>
      <c r="L4" s="194"/>
      <c r="M4" s="195"/>
      <c r="N4" s="203"/>
    </row>
    <row r="5" spans="1:14" s="72" customFormat="1" ht="28.5" customHeight="1">
      <c r="A5" s="199"/>
      <c r="B5" s="67" t="s">
        <v>37</v>
      </c>
      <c r="C5" s="68" t="s">
        <v>38</v>
      </c>
      <c r="D5" s="67" t="s">
        <v>37</v>
      </c>
      <c r="E5" s="68" t="s">
        <v>38</v>
      </c>
      <c r="F5" s="67" t="s">
        <v>37</v>
      </c>
      <c r="G5" s="69" t="s">
        <v>39</v>
      </c>
      <c r="H5" s="67" t="s">
        <v>37</v>
      </c>
      <c r="I5" s="70" t="s">
        <v>40</v>
      </c>
      <c r="J5" s="67" t="s">
        <v>37</v>
      </c>
      <c r="K5" s="70" t="s">
        <v>41</v>
      </c>
      <c r="L5" s="67" t="s">
        <v>37</v>
      </c>
      <c r="M5" s="71" t="s">
        <v>42</v>
      </c>
      <c r="N5" s="204"/>
    </row>
    <row r="6" spans="1:14" s="78" customFormat="1" ht="10.5">
      <c r="A6" s="73"/>
      <c r="B6" s="74" t="s">
        <v>4</v>
      </c>
      <c r="C6" s="75" t="s">
        <v>5</v>
      </c>
      <c r="D6" s="74" t="s">
        <v>4</v>
      </c>
      <c r="E6" s="75" t="s">
        <v>5</v>
      </c>
      <c r="F6" s="74" t="s">
        <v>4</v>
      </c>
      <c r="G6" s="75" t="s">
        <v>5</v>
      </c>
      <c r="H6" s="74" t="s">
        <v>4</v>
      </c>
      <c r="I6" s="76" t="s">
        <v>5</v>
      </c>
      <c r="J6" s="74" t="s">
        <v>4</v>
      </c>
      <c r="K6" s="76" t="s">
        <v>5</v>
      </c>
      <c r="L6" s="74" t="s">
        <v>4</v>
      </c>
      <c r="M6" s="76" t="s">
        <v>5</v>
      </c>
      <c r="N6" s="77"/>
    </row>
    <row r="7" spans="1:14" s="81" customFormat="1" ht="15.75" customHeight="1">
      <c r="A7" s="79" t="s">
        <v>43</v>
      </c>
      <c r="B7" s="126">
        <f>_xlfn.COMPOUNDVALUE(1)</f>
        <v>1832</v>
      </c>
      <c r="C7" s="127">
        <v>744846</v>
      </c>
      <c r="D7" s="126">
        <f>_xlfn.COMPOUNDVALUE(2)</f>
        <v>2798</v>
      </c>
      <c r="E7" s="127">
        <v>762329</v>
      </c>
      <c r="F7" s="126">
        <f>_xlfn.COMPOUNDVALUE(3)</f>
        <v>4630</v>
      </c>
      <c r="G7" s="127">
        <v>1507176</v>
      </c>
      <c r="H7" s="126">
        <f>_xlfn.COMPOUNDVALUE(4)</f>
        <v>113</v>
      </c>
      <c r="I7" s="128">
        <v>61520</v>
      </c>
      <c r="J7" s="126">
        <v>375</v>
      </c>
      <c r="K7" s="128">
        <v>54554</v>
      </c>
      <c r="L7" s="126">
        <f>_xlfn.COMPOUNDVALUE(4)</f>
        <v>4938</v>
      </c>
      <c r="M7" s="128">
        <v>1500210</v>
      </c>
      <c r="N7" s="80" t="s">
        <v>43</v>
      </c>
    </row>
    <row r="8" spans="1:14" s="81" customFormat="1" ht="15.75" customHeight="1">
      <c r="A8" s="82" t="s">
        <v>44</v>
      </c>
      <c r="B8" s="129">
        <f>_xlfn.COMPOUNDVALUE(5)</f>
        <v>842</v>
      </c>
      <c r="C8" s="130">
        <v>380736</v>
      </c>
      <c r="D8" s="129">
        <f>_xlfn.COMPOUNDVALUE(6)</f>
        <v>1195</v>
      </c>
      <c r="E8" s="130">
        <v>324178</v>
      </c>
      <c r="F8" s="129">
        <f>_xlfn.COMPOUNDVALUE(7)</f>
        <v>2037</v>
      </c>
      <c r="G8" s="130">
        <v>704914</v>
      </c>
      <c r="H8" s="129">
        <f>_xlfn.COMPOUNDVALUE(8)</f>
        <v>48</v>
      </c>
      <c r="I8" s="131">
        <v>21330</v>
      </c>
      <c r="J8" s="129">
        <v>264</v>
      </c>
      <c r="K8" s="131">
        <v>27063</v>
      </c>
      <c r="L8" s="129">
        <f>_xlfn.COMPOUNDVALUE(8)</f>
        <v>2187</v>
      </c>
      <c r="M8" s="131">
        <v>710647</v>
      </c>
      <c r="N8" s="83" t="s">
        <v>44</v>
      </c>
    </row>
    <row r="9" spans="1:14" s="81" customFormat="1" ht="15.75" customHeight="1">
      <c r="A9" s="82" t="s">
        <v>45</v>
      </c>
      <c r="B9" s="129">
        <f>_xlfn.COMPOUNDVALUE(9)</f>
        <v>1705</v>
      </c>
      <c r="C9" s="130">
        <v>715711</v>
      </c>
      <c r="D9" s="129">
        <f>_xlfn.COMPOUNDVALUE(10)</f>
        <v>2516</v>
      </c>
      <c r="E9" s="130">
        <v>658348</v>
      </c>
      <c r="F9" s="129">
        <f>_xlfn.COMPOUNDVALUE(11)</f>
        <v>4221</v>
      </c>
      <c r="G9" s="130">
        <v>1374059</v>
      </c>
      <c r="H9" s="129">
        <f>_xlfn.COMPOUNDVALUE(12)</f>
        <v>133</v>
      </c>
      <c r="I9" s="131">
        <v>74282</v>
      </c>
      <c r="J9" s="129">
        <v>257</v>
      </c>
      <c r="K9" s="131">
        <v>23383</v>
      </c>
      <c r="L9" s="129">
        <f>_xlfn.COMPOUNDVALUE(12)</f>
        <v>4413</v>
      </c>
      <c r="M9" s="131">
        <v>1323160</v>
      </c>
      <c r="N9" s="83" t="s">
        <v>45</v>
      </c>
    </row>
    <row r="10" spans="1:14" s="81" customFormat="1" ht="15.75" customHeight="1">
      <c r="A10" s="82" t="s">
        <v>46</v>
      </c>
      <c r="B10" s="129">
        <f>_xlfn.COMPOUNDVALUE(13)</f>
        <v>866</v>
      </c>
      <c r="C10" s="130">
        <v>300082</v>
      </c>
      <c r="D10" s="129">
        <f>_xlfn.COMPOUNDVALUE(14)</f>
        <v>1947</v>
      </c>
      <c r="E10" s="130">
        <v>484503</v>
      </c>
      <c r="F10" s="129">
        <f>_xlfn.COMPOUNDVALUE(15)</f>
        <v>2813</v>
      </c>
      <c r="G10" s="130">
        <v>784585</v>
      </c>
      <c r="H10" s="129">
        <f>_xlfn.COMPOUNDVALUE(16)</f>
        <v>48</v>
      </c>
      <c r="I10" s="131">
        <v>10782</v>
      </c>
      <c r="J10" s="129">
        <v>226</v>
      </c>
      <c r="K10" s="131">
        <v>26850</v>
      </c>
      <c r="L10" s="129">
        <f>_xlfn.COMPOUNDVALUE(16)</f>
        <v>2974</v>
      </c>
      <c r="M10" s="131">
        <v>800653</v>
      </c>
      <c r="N10" s="83" t="s">
        <v>46</v>
      </c>
    </row>
    <row r="11" spans="1:14" s="81" customFormat="1" ht="15.75" customHeight="1">
      <c r="A11" s="82" t="s">
        <v>47</v>
      </c>
      <c r="B11" s="129">
        <f>_xlfn.COMPOUNDVALUE(17)</f>
        <v>1360</v>
      </c>
      <c r="C11" s="130">
        <v>513565</v>
      </c>
      <c r="D11" s="129">
        <f>_xlfn.COMPOUNDVALUE(18)</f>
        <v>2723</v>
      </c>
      <c r="E11" s="130">
        <v>701470</v>
      </c>
      <c r="F11" s="129">
        <f>_xlfn.COMPOUNDVALUE(19)</f>
        <v>4083</v>
      </c>
      <c r="G11" s="130">
        <v>1215034</v>
      </c>
      <c r="H11" s="129">
        <f>_xlfn.COMPOUNDVALUE(20)</f>
        <v>95</v>
      </c>
      <c r="I11" s="131">
        <v>30349</v>
      </c>
      <c r="J11" s="129">
        <v>353</v>
      </c>
      <c r="K11" s="131">
        <v>24129</v>
      </c>
      <c r="L11" s="129">
        <f>_xlfn.COMPOUNDVALUE(20)</f>
        <v>4319</v>
      </c>
      <c r="M11" s="131">
        <v>1208814</v>
      </c>
      <c r="N11" s="83" t="s">
        <v>47</v>
      </c>
    </row>
    <row r="12" spans="1:14" s="81" customFormat="1" ht="15.75" customHeight="1">
      <c r="A12" s="82" t="s">
        <v>48</v>
      </c>
      <c r="B12" s="129">
        <f>_xlfn.COMPOUNDVALUE(21)</f>
        <v>1231</v>
      </c>
      <c r="C12" s="130">
        <v>790532</v>
      </c>
      <c r="D12" s="129">
        <f>_xlfn.COMPOUNDVALUE(22)</f>
        <v>1874</v>
      </c>
      <c r="E12" s="130">
        <v>488535</v>
      </c>
      <c r="F12" s="129">
        <f>_xlfn.COMPOUNDVALUE(23)</f>
        <v>3105</v>
      </c>
      <c r="G12" s="130">
        <v>1279067</v>
      </c>
      <c r="H12" s="129">
        <f>_xlfn.COMPOUNDVALUE(24)</f>
        <v>77</v>
      </c>
      <c r="I12" s="131">
        <v>35474</v>
      </c>
      <c r="J12" s="129">
        <v>289</v>
      </c>
      <c r="K12" s="131">
        <v>51206</v>
      </c>
      <c r="L12" s="129">
        <f>_xlfn.COMPOUNDVALUE(24)</f>
        <v>3312</v>
      </c>
      <c r="M12" s="131">
        <v>1294798</v>
      </c>
      <c r="N12" s="83" t="s">
        <v>49</v>
      </c>
    </row>
    <row r="13" spans="1:14" s="81" customFormat="1" ht="15.75" customHeight="1">
      <c r="A13" s="82" t="s">
        <v>50</v>
      </c>
      <c r="B13" s="129">
        <f>_xlfn.COMPOUNDVALUE(25)</f>
        <v>1232</v>
      </c>
      <c r="C13" s="130">
        <v>455458</v>
      </c>
      <c r="D13" s="129">
        <f>_xlfn.COMPOUNDVALUE(26)</f>
        <v>1802</v>
      </c>
      <c r="E13" s="130">
        <v>479766</v>
      </c>
      <c r="F13" s="129">
        <f>_xlfn.COMPOUNDVALUE(27)</f>
        <v>3034</v>
      </c>
      <c r="G13" s="130">
        <v>935224</v>
      </c>
      <c r="H13" s="129">
        <f>_xlfn.COMPOUNDVALUE(28)</f>
        <v>83</v>
      </c>
      <c r="I13" s="131">
        <v>22296</v>
      </c>
      <c r="J13" s="129">
        <v>264</v>
      </c>
      <c r="K13" s="131">
        <v>35306</v>
      </c>
      <c r="L13" s="129">
        <f>_xlfn.COMPOUNDVALUE(28)</f>
        <v>3241</v>
      </c>
      <c r="M13" s="131">
        <v>948234</v>
      </c>
      <c r="N13" s="83" t="s">
        <v>50</v>
      </c>
    </row>
    <row r="14" spans="1:14" s="81" customFormat="1" ht="15.75" customHeight="1">
      <c r="A14" s="82" t="s">
        <v>51</v>
      </c>
      <c r="B14" s="129">
        <f>_xlfn.COMPOUNDVALUE(29)</f>
        <v>1529</v>
      </c>
      <c r="C14" s="130">
        <v>659811</v>
      </c>
      <c r="D14" s="129">
        <f>_xlfn.COMPOUNDVALUE(30)</f>
        <v>3151</v>
      </c>
      <c r="E14" s="130">
        <v>849761</v>
      </c>
      <c r="F14" s="129">
        <f>_xlfn.COMPOUNDVALUE(31)</f>
        <v>4680</v>
      </c>
      <c r="G14" s="130">
        <v>1509572</v>
      </c>
      <c r="H14" s="129">
        <f>_xlfn.COMPOUNDVALUE(32)</f>
        <v>116</v>
      </c>
      <c r="I14" s="131">
        <v>54814</v>
      </c>
      <c r="J14" s="129">
        <v>222</v>
      </c>
      <c r="K14" s="131">
        <v>44723</v>
      </c>
      <c r="L14" s="129">
        <f>_xlfn.COMPOUNDVALUE(32)</f>
        <v>4893</v>
      </c>
      <c r="M14" s="131">
        <v>1499481</v>
      </c>
      <c r="N14" s="83" t="s">
        <v>51</v>
      </c>
    </row>
    <row r="15" spans="1:14" s="81" customFormat="1" ht="15.75" customHeight="1">
      <c r="A15" s="84" t="s">
        <v>52</v>
      </c>
      <c r="B15" s="132">
        <v>10597</v>
      </c>
      <c r="C15" s="133">
        <v>4560740</v>
      </c>
      <c r="D15" s="132">
        <v>18006</v>
      </c>
      <c r="E15" s="133">
        <v>4748890</v>
      </c>
      <c r="F15" s="132">
        <v>28603</v>
      </c>
      <c r="G15" s="133">
        <v>9309630</v>
      </c>
      <c r="H15" s="132">
        <v>713</v>
      </c>
      <c r="I15" s="134">
        <v>310846</v>
      </c>
      <c r="J15" s="132">
        <v>2250</v>
      </c>
      <c r="K15" s="134">
        <v>287213</v>
      </c>
      <c r="L15" s="132">
        <v>30277</v>
      </c>
      <c r="M15" s="134">
        <v>9285997</v>
      </c>
      <c r="N15" s="85" t="s">
        <v>53</v>
      </c>
    </row>
    <row r="16" spans="1:14" s="81" customFormat="1" ht="15.75" customHeight="1">
      <c r="A16" s="86"/>
      <c r="B16" s="135"/>
      <c r="C16" s="136"/>
      <c r="D16" s="135"/>
      <c r="E16" s="136"/>
      <c r="F16" s="137"/>
      <c r="G16" s="136"/>
      <c r="H16" s="137"/>
      <c r="I16" s="136"/>
      <c r="J16" s="137"/>
      <c r="K16" s="136"/>
      <c r="L16" s="137"/>
      <c r="M16" s="136"/>
      <c r="N16" s="87"/>
    </row>
    <row r="17" spans="1:14" s="81" customFormat="1" ht="15.75" customHeight="1">
      <c r="A17" s="79" t="s">
        <v>54</v>
      </c>
      <c r="B17" s="126">
        <f>_xlfn.COMPOUNDVALUE(33)</f>
        <v>1259</v>
      </c>
      <c r="C17" s="127">
        <v>525607</v>
      </c>
      <c r="D17" s="126">
        <f>_xlfn.COMPOUNDVALUE(34)</f>
        <v>2312</v>
      </c>
      <c r="E17" s="127">
        <v>609075</v>
      </c>
      <c r="F17" s="126">
        <f>_xlfn.COMPOUNDVALUE(35)</f>
        <v>3571</v>
      </c>
      <c r="G17" s="127">
        <v>1134682</v>
      </c>
      <c r="H17" s="126">
        <f>_xlfn.COMPOUNDVALUE(36)</f>
        <v>92</v>
      </c>
      <c r="I17" s="128">
        <v>44577</v>
      </c>
      <c r="J17" s="126">
        <v>249</v>
      </c>
      <c r="K17" s="128">
        <v>37907</v>
      </c>
      <c r="L17" s="126">
        <f>_xlfn.COMPOUNDVALUE(36)</f>
        <v>3793</v>
      </c>
      <c r="M17" s="128">
        <v>1128012</v>
      </c>
      <c r="N17" s="88" t="s">
        <v>54</v>
      </c>
    </row>
    <row r="18" spans="1:14" s="81" customFormat="1" ht="15.75" customHeight="1">
      <c r="A18" s="82" t="s">
        <v>55</v>
      </c>
      <c r="B18" s="129">
        <f>_xlfn.COMPOUNDVALUE(37)</f>
        <v>473</v>
      </c>
      <c r="C18" s="130">
        <v>171180</v>
      </c>
      <c r="D18" s="129">
        <f>_xlfn.COMPOUNDVALUE(38)</f>
        <v>805</v>
      </c>
      <c r="E18" s="130">
        <v>200377</v>
      </c>
      <c r="F18" s="129">
        <f>_xlfn.COMPOUNDVALUE(39)</f>
        <v>1278</v>
      </c>
      <c r="G18" s="130">
        <v>371557</v>
      </c>
      <c r="H18" s="129">
        <f>_xlfn.COMPOUNDVALUE(40)</f>
        <v>30</v>
      </c>
      <c r="I18" s="131">
        <v>8157</v>
      </c>
      <c r="J18" s="129">
        <v>122</v>
      </c>
      <c r="K18" s="131">
        <v>16813</v>
      </c>
      <c r="L18" s="129">
        <f>_xlfn.COMPOUNDVALUE(40)</f>
        <v>1361</v>
      </c>
      <c r="M18" s="131">
        <v>380212</v>
      </c>
      <c r="N18" s="83" t="s">
        <v>55</v>
      </c>
    </row>
    <row r="19" spans="1:14" s="81" customFormat="1" ht="15.75" customHeight="1">
      <c r="A19" s="82" t="s">
        <v>56</v>
      </c>
      <c r="B19" s="129">
        <f>_xlfn.COMPOUNDVALUE(41)</f>
        <v>1284</v>
      </c>
      <c r="C19" s="130">
        <v>482662</v>
      </c>
      <c r="D19" s="129">
        <f>_xlfn.COMPOUNDVALUE(42)</f>
        <v>2494</v>
      </c>
      <c r="E19" s="130">
        <v>606676</v>
      </c>
      <c r="F19" s="129">
        <f>_xlfn.COMPOUNDVALUE(43)</f>
        <v>3778</v>
      </c>
      <c r="G19" s="130">
        <v>1089338</v>
      </c>
      <c r="H19" s="129">
        <f>_xlfn.COMPOUNDVALUE(44)</f>
        <v>114</v>
      </c>
      <c r="I19" s="131">
        <v>50321</v>
      </c>
      <c r="J19" s="129">
        <v>277</v>
      </c>
      <c r="K19" s="131">
        <v>50957</v>
      </c>
      <c r="L19" s="129">
        <f>_xlfn.COMPOUNDVALUE(44)</f>
        <v>4054</v>
      </c>
      <c r="M19" s="131">
        <v>1089974</v>
      </c>
      <c r="N19" s="83" t="s">
        <v>56</v>
      </c>
    </row>
    <row r="20" spans="1:14" s="81" customFormat="1" ht="15.75" customHeight="1">
      <c r="A20" s="82" t="s">
        <v>57</v>
      </c>
      <c r="B20" s="129">
        <f>_xlfn.COMPOUNDVALUE(45)</f>
        <v>407</v>
      </c>
      <c r="C20" s="130">
        <v>131071</v>
      </c>
      <c r="D20" s="129">
        <f>_xlfn.COMPOUNDVALUE(46)</f>
        <v>693</v>
      </c>
      <c r="E20" s="130">
        <v>177772</v>
      </c>
      <c r="F20" s="129">
        <f>_xlfn.COMPOUNDVALUE(47)</f>
        <v>1100</v>
      </c>
      <c r="G20" s="130">
        <v>308843</v>
      </c>
      <c r="H20" s="129">
        <f>_xlfn.COMPOUNDVALUE(48)</f>
        <v>35</v>
      </c>
      <c r="I20" s="131">
        <v>10195</v>
      </c>
      <c r="J20" s="129">
        <v>77</v>
      </c>
      <c r="K20" s="131">
        <v>2943</v>
      </c>
      <c r="L20" s="129">
        <f>_xlfn.COMPOUNDVALUE(48)</f>
        <v>1171</v>
      </c>
      <c r="M20" s="131">
        <v>301591</v>
      </c>
      <c r="N20" s="83" t="s">
        <v>57</v>
      </c>
    </row>
    <row r="21" spans="1:14" s="81" customFormat="1" ht="15.75" customHeight="1">
      <c r="A21" s="82" t="s">
        <v>58</v>
      </c>
      <c r="B21" s="129">
        <f>_xlfn.COMPOUNDVALUE(49)</f>
        <v>540</v>
      </c>
      <c r="C21" s="130">
        <v>171853</v>
      </c>
      <c r="D21" s="129">
        <f>_xlfn.COMPOUNDVALUE(50)</f>
        <v>1137</v>
      </c>
      <c r="E21" s="130">
        <v>261670</v>
      </c>
      <c r="F21" s="129">
        <f>_xlfn.COMPOUNDVALUE(51)</f>
        <v>1677</v>
      </c>
      <c r="G21" s="130">
        <v>433524</v>
      </c>
      <c r="H21" s="129">
        <f>_xlfn.COMPOUNDVALUE(52)</f>
        <v>52</v>
      </c>
      <c r="I21" s="131">
        <v>9538</v>
      </c>
      <c r="J21" s="129">
        <v>93</v>
      </c>
      <c r="K21" s="131">
        <v>9512</v>
      </c>
      <c r="L21" s="129">
        <f>_xlfn.COMPOUNDVALUE(52)</f>
        <v>1784</v>
      </c>
      <c r="M21" s="131">
        <v>433498</v>
      </c>
      <c r="N21" s="83" t="s">
        <v>58</v>
      </c>
    </row>
    <row r="22" spans="1:14" s="81" customFormat="1" ht="15.75" customHeight="1">
      <c r="A22" s="82" t="s">
        <v>59</v>
      </c>
      <c r="B22" s="129">
        <f>_xlfn.COMPOUNDVALUE(53)</f>
        <v>464</v>
      </c>
      <c r="C22" s="130">
        <v>154720</v>
      </c>
      <c r="D22" s="129">
        <f>_xlfn.COMPOUNDVALUE(54)</f>
        <v>1231</v>
      </c>
      <c r="E22" s="130">
        <v>279870</v>
      </c>
      <c r="F22" s="129">
        <f>_xlfn.COMPOUNDVALUE(55)</f>
        <v>1695</v>
      </c>
      <c r="G22" s="130">
        <v>434590</v>
      </c>
      <c r="H22" s="129">
        <f>_xlfn.COMPOUNDVALUE(56)</f>
        <v>40</v>
      </c>
      <c r="I22" s="131">
        <v>6418</v>
      </c>
      <c r="J22" s="129">
        <v>133</v>
      </c>
      <c r="K22" s="131">
        <v>17225</v>
      </c>
      <c r="L22" s="129">
        <f>_xlfn.COMPOUNDVALUE(56)</f>
        <v>1807</v>
      </c>
      <c r="M22" s="131">
        <v>445398</v>
      </c>
      <c r="N22" s="83" t="s">
        <v>59</v>
      </c>
    </row>
    <row r="23" spans="1:14" s="81" customFormat="1" ht="15.75" customHeight="1">
      <c r="A23" s="82" t="s">
        <v>60</v>
      </c>
      <c r="B23" s="129">
        <f>_xlfn.COMPOUNDVALUE(57)</f>
        <v>815</v>
      </c>
      <c r="C23" s="130">
        <v>297130</v>
      </c>
      <c r="D23" s="129">
        <f>_xlfn.COMPOUNDVALUE(58)</f>
        <v>1630</v>
      </c>
      <c r="E23" s="130">
        <v>407608</v>
      </c>
      <c r="F23" s="129">
        <f>_xlfn.COMPOUNDVALUE(59)</f>
        <v>2445</v>
      </c>
      <c r="G23" s="130">
        <v>704738</v>
      </c>
      <c r="H23" s="129">
        <f>_xlfn.COMPOUNDVALUE(60)</f>
        <v>87</v>
      </c>
      <c r="I23" s="131">
        <v>41190</v>
      </c>
      <c r="J23" s="129">
        <v>178</v>
      </c>
      <c r="K23" s="131">
        <v>19496</v>
      </c>
      <c r="L23" s="129">
        <f>_xlfn.COMPOUNDVALUE(60)</f>
        <v>2640</v>
      </c>
      <c r="M23" s="131">
        <v>683044</v>
      </c>
      <c r="N23" s="83" t="s">
        <v>60</v>
      </c>
    </row>
    <row r="24" spans="1:14" s="81" customFormat="1" ht="15.75" customHeight="1">
      <c r="A24" s="82" t="s">
        <v>61</v>
      </c>
      <c r="B24" s="129">
        <f>_xlfn.COMPOUNDVALUE(61)</f>
        <v>462</v>
      </c>
      <c r="C24" s="130">
        <v>199360</v>
      </c>
      <c r="D24" s="129">
        <f>_xlfn.COMPOUNDVALUE(62)</f>
        <v>1077</v>
      </c>
      <c r="E24" s="130">
        <v>253174</v>
      </c>
      <c r="F24" s="129">
        <f>_xlfn.COMPOUNDVALUE(63)</f>
        <v>1539</v>
      </c>
      <c r="G24" s="130">
        <v>452534</v>
      </c>
      <c r="H24" s="129">
        <f>_xlfn.COMPOUNDVALUE(64)</f>
        <v>52</v>
      </c>
      <c r="I24" s="131">
        <v>43442</v>
      </c>
      <c r="J24" s="129">
        <v>85</v>
      </c>
      <c r="K24" s="131">
        <v>6988</v>
      </c>
      <c r="L24" s="129">
        <f>_xlfn.COMPOUNDVALUE(64)</f>
        <v>1621</v>
      </c>
      <c r="M24" s="131">
        <v>416079</v>
      </c>
      <c r="N24" s="83" t="s">
        <v>61</v>
      </c>
    </row>
    <row r="25" spans="1:14" s="81" customFormat="1" ht="15.75" customHeight="1">
      <c r="A25" s="84" t="s">
        <v>62</v>
      </c>
      <c r="B25" s="132">
        <v>5704</v>
      </c>
      <c r="C25" s="133">
        <v>2133582</v>
      </c>
      <c r="D25" s="132">
        <v>11379</v>
      </c>
      <c r="E25" s="133">
        <v>2796222</v>
      </c>
      <c r="F25" s="132">
        <v>17083</v>
      </c>
      <c r="G25" s="133">
        <v>4929804</v>
      </c>
      <c r="H25" s="132">
        <v>502</v>
      </c>
      <c r="I25" s="134">
        <v>213838</v>
      </c>
      <c r="J25" s="132">
        <v>1214</v>
      </c>
      <c r="K25" s="134">
        <v>161841</v>
      </c>
      <c r="L25" s="132">
        <v>18231</v>
      </c>
      <c r="M25" s="134">
        <v>4877807</v>
      </c>
      <c r="N25" s="85" t="s">
        <v>63</v>
      </c>
    </row>
    <row r="26" spans="1:14" s="81" customFormat="1" ht="15.75" customHeight="1">
      <c r="A26" s="86"/>
      <c r="B26" s="135"/>
      <c r="C26" s="136"/>
      <c r="D26" s="135"/>
      <c r="E26" s="136"/>
      <c r="F26" s="137"/>
      <c r="G26" s="136"/>
      <c r="H26" s="137"/>
      <c r="I26" s="136"/>
      <c r="J26" s="137"/>
      <c r="K26" s="136"/>
      <c r="L26" s="137"/>
      <c r="M26" s="136"/>
      <c r="N26" s="87"/>
    </row>
    <row r="27" spans="1:14" s="81" customFormat="1" ht="15.75" customHeight="1">
      <c r="A27" s="79" t="s">
        <v>64</v>
      </c>
      <c r="B27" s="126">
        <f>_xlfn.COMPOUNDVALUE(65)</f>
        <v>1091</v>
      </c>
      <c r="C27" s="127">
        <v>365741</v>
      </c>
      <c r="D27" s="126">
        <f>_xlfn.COMPOUNDVALUE(66)</f>
        <v>1637</v>
      </c>
      <c r="E27" s="127">
        <v>416823</v>
      </c>
      <c r="F27" s="126">
        <f>_xlfn.COMPOUNDVALUE(67)</f>
        <v>2728</v>
      </c>
      <c r="G27" s="127">
        <v>782563</v>
      </c>
      <c r="H27" s="126">
        <f>_xlfn.COMPOUNDVALUE(68)</f>
        <v>92</v>
      </c>
      <c r="I27" s="128">
        <v>39704</v>
      </c>
      <c r="J27" s="126">
        <v>180</v>
      </c>
      <c r="K27" s="128">
        <v>30327</v>
      </c>
      <c r="L27" s="126">
        <f>_xlfn.COMPOUNDVALUE(68)</f>
        <v>2909</v>
      </c>
      <c r="M27" s="128">
        <v>773187</v>
      </c>
      <c r="N27" s="88" t="s">
        <v>64</v>
      </c>
    </row>
    <row r="28" spans="1:14" s="81" customFormat="1" ht="15.75" customHeight="1">
      <c r="A28" s="79" t="s">
        <v>65</v>
      </c>
      <c r="B28" s="126">
        <f>_xlfn.COMPOUNDVALUE(69)</f>
        <v>1516</v>
      </c>
      <c r="C28" s="127">
        <v>595877</v>
      </c>
      <c r="D28" s="126">
        <f>_xlfn.COMPOUNDVALUE(70)</f>
        <v>2561</v>
      </c>
      <c r="E28" s="127">
        <v>648566</v>
      </c>
      <c r="F28" s="126">
        <f>_xlfn.COMPOUNDVALUE(71)</f>
        <v>4077</v>
      </c>
      <c r="G28" s="127">
        <v>1244443</v>
      </c>
      <c r="H28" s="126">
        <f>_xlfn.COMPOUNDVALUE(72)</f>
        <v>121</v>
      </c>
      <c r="I28" s="128">
        <v>33801</v>
      </c>
      <c r="J28" s="126">
        <v>282</v>
      </c>
      <c r="K28" s="128">
        <v>49933</v>
      </c>
      <c r="L28" s="126">
        <f>_xlfn.COMPOUNDVALUE(72)</f>
        <v>4355</v>
      </c>
      <c r="M28" s="128">
        <v>1260576</v>
      </c>
      <c r="N28" s="80" t="s">
        <v>65</v>
      </c>
    </row>
    <row r="29" spans="1:14" s="81" customFormat="1" ht="15.75" customHeight="1">
      <c r="A29" s="82" t="s">
        <v>66</v>
      </c>
      <c r="B29" s="129">
        <f>_xlfn.COMPOUNDVALUE(73)</f>
        <v>671</v>
      </c>
      <c r="C29" s="130">
        <v>226558</v>
      </c>
      <c r="D29" s="129">
        <f>_xlfn.COMPOUNDVALUE(74)</f>
        <v>1171</v>
      </c>
      <c r="E29" s="130">
        <v>284326</v>
      </c>
      <c r="F29" s="129">
        <f>_xlfn.COMPOUNDVALUE(75)</f>
        <v>1842</v>
      </c>
      <c r="G29" s="130">
        <v>510884</v>
      </c>
      <c r="H29" s="129">
        <f>_xlfn.COMPOUNDVALUE(76)</f>
        <v>37</v>
      </c>
      <c r="I29" s="131">
        <v>8532</v>
      </c>
      <c r="J29" s="129">
        <v>123</v>
      </c>
      <c r="K29" s="131">
        <v>15731</v>
      </c>
      <c r="L29" s="129">
        <f>_xlfn.COMPOUNDVALUE(76)</f>
        <v>1938</v>
      </c>
      <c r="M29" s="131">
        <v>518084</v>
      </c>
      <c r="N29" s="83" t="s">
        <v>66</v>
      </c>
    </row>
    <row r="30" spans="1:14" s="81" customFormat="1" ht="15.75" customHeight="1">
      <c r="A30" s="82" t="s">
        <v>67</v>
      </c>
      <c r="B30" s="129">
        <f>_xlfn.COMPOUNDVALUE(77)</f>
        <v>741</v>
      </c>
      <c r="C30" s="130">
        <v>293006</v>
      </c>
      <c r="D30" s="129">
        <f>_xlfn.COMPOUNDVALUE(78)</f>
        <v>1338</v>
      </c>
      <c r="E30" s="130">
        <v>317547</v>
      </c>
      <c r="F30" s="129">
        <f>_xlfn.COMPOUNDVALUE(79)</f>
        <v>2079</v>
      </c>
      <c r="G30" s="130">
        <v>610554</v>
      </c>
      <c r="H30" s="129">
        <f>_xlfn.COMPOUNDVALUE(80)</f>
        <v>51</v>
      </c>
      <c r="I30" s="131">
        <v>18397</v>
      </c>
      <c r="J30" s="129">
        <v>130</v>
      </c>
      <c r="K30" s="131">
        <v>17595</v>
      </c>
      <c r="L30" s="129">
        <f>_xlfn.COMPOUNDVALUE(80)</f>
        <v>2208</v>
      </c>
      <c r="M30" s="131">
        <v>609752</v>
      </c>
      <c r="N30" s="83" t="s">
        <v>67</v>
      </c>
    </row>
    <row r="31" spans="1:14" s="81" customFormat="1" ht="15.75" customHeight="1">
      <c r="A31" s="82" t="s">
        <v>68</v>
      </c>
      <c r="B31" s="129">
        <f>_xlfn.COMPOUNDVALUE(81)</f>
        <v>425</v>
      </c>
      <c r="C31" s="130">
        <v>188806</v>
      </c>
      <c r="D31" s="129">
        <f>_xlfn.COMPOUNDVALUE(82)</f>
        <v>968</v>
      </c>
      <c r="E31" s="130">
        <v>258592</v>
      </c>
      <c r="F31" s="129">
        <f>_xlfn.COMPOUNDVALUE(83)</f>
        <v>1393</v>
      </c>
      <c r="G31" s="130">
        <v>447398</v>
      </c>
      <c r="H31" s="129">
        <f>_xlfn.COMPOUNDVALUE(84)</f>
        <v>22</v>
      </c>
      <c r="I31" s="131">
        <v>5252</v>
      </c>
      <c r="J31" s="129">
        <v>122</v>
      </c>
      <c r="K31" s="131">
        <v>14363</v>
      </c>
      <c r="L31" s="129">
        <f>_xlfn.COMPOUNDVALUE(84)</f>
        <v>1456</v>
      </c>
      <c r="M31" s="131">
        <v>456509</v>
      </c>
      <c r="N31" s="83" t="s">
        <v>68</v>
      </c>
    </row>
    <row r="32" spans="1:14" s="81" customFormat="1" ht="15.75" customHeight="1">
      <c r="A32" s="82" t="s">
        <v>69</v>
      </c>
      <c r="B32" s="129">
        <f>_xlfn.COMPOUNDVALUE(85)</f>
        <v>1240</v>
      </c>
      <c r="C32" s="130">
        <v>443873</v>
      </c>
      <c r="D32" s="129">
        <f>_xlfn.COMPOUNDVALUE(86)</f>
        <v>2258</v>
      </c>
      <c r="E32" s="130">
        <v>560186</v>
      </c>
      <c r="F32" s="129">
        <f>_xlfn.COMPOUNDVALUE(87)</f>
        <v>3498</v>
      </c>
      <c r="G32" s="130">
        <v>1004059</v>
      </c>
      <c r="H32" s="129">
        <f>_xlfn.COMPOUNDVALUE(88)</f>
        <v>94</v>
      </c>
      <c r="I32" s="131">
        <v>35949</v>
      </c>
      <c r="J32" s="129">
        <v>274</v>
      </c>
      <c r="K32" s="131">
        <v>42171</v>
      </c>
      <c r="L32" s="129">
        <f>_xlfn.COMPOUNDVALUE(88)</f>
        <v>3738</v>
      </c>
      <c r="M32" s="131">
        <v>1010282</v>
      </c>
      <c r="N32" s="83" t="s">
        <v>69</v>
      </c>
    </row>
    <row r="33" spans="1:14" s="81" customFormat="1" ht="15.75" customHeight="1">
      <c r="A33" s="82" t="s">
        <v>70</v>
      </c>
      <c r="B33" s="129">
        <f>_xlfn.COMPOUNDVALUE(89)</f>
        <v>216</v>
      </c>
      <c r="C33" s="130">
        <v>89392</v>
      </c>
      <c r="D33" s="129">
        <f>_xlfn.COMPOUNDVALUE(90)</f>
        <v>342</v>
      </c>
      <c r="E33" s="130">
        <v>78824</v>
      </c>
      <c r="F33" s="129">
        <f>_xlfn.COMPOUNDVALUE(91)</f>
        <v>558</v>
      </c>
      <c r="G33" s="130">
        <v>168216</v>
      </c>
      <c r="H33" s="129">
        <f>_xlfn.COMPOUNDVALUE(92)</f>
        <v>13</v>
      </c>
      <c r="I33" s="131">
        <v>5128</v>
      </c>
      <c r="J33" s="129">
        <v>54</v>
      </c>
      <c r="K33" s="131">
        <v>4970</v>
      </c>
      <c r="L33" s="129">
        <f>_xlfn.COMPOUNDVALUE(92)</f>
        <v>593</v>
      </c>
      <c r="M33" s="131">
        <v>168058</v>
      </c>
      <c r="N33" s="83" t="s">
        <v>70</v>
      </c>
    </row>
    <row r="34" spans="1:14" s="81" customFormat="1" ht="15.75" customHeight="1">
      <c r="A34" s="82" t="s">
        <v>71</v>
      </c>
      <c r="B34" s="129">
        <f>_xlfn.COMPOUNDVALUE(93)</f>
        <v>352</v>
      </c>
      <c r="C34" s="130">
        <v>126685</v>
      </c>
      <c r="D34" s="129">
        <f>_xlfn.COMPOUNDVALUE(94)</f>
        <v>646</v>
      </c>
      <c r="E34" s="130">
        <v>141823</v>
      </c>
      <c r="F34" s="129">
        <f>_xlfn.COMPOUNDVALUE(95)</f>
        <v>998</v>
      </c>
      <c r="G34" s="130">
        <v>268508</v>
      </c>
      <c r="H34" s="129">
        <f>_xlfn.COMPOUNDVALUE(96)</f>
        <v>27</v>
      </c>
      <c r="I34" s="131">
        <v>4653</v>
      </c>
      <c r="J34" s="129">
        <v>46</v>
      </c>
      <c r="K34" s="131">
        <v>2907</v>
      </c>
      <c r="L34" s="129">
        <f>_xlfn.COMPOUNDVALUE(96)</f>
        <v>1049</v>
      </c>
      <c r="M34" s="131">
        <v>266762</v>
      </c>
      <c r="N34" s="83" t="s">
        <v>71</v>
      </c>
    </row>
    <row r="35" spans="1:14" s="81" customFormat="1" ht="15.75" customHeight="1">
      <c r="A35" s="82" t="s">
        <v>72</v>
      </c>
      <c r="B35" s="129">
        <f>_xlfn.COMPOUNDVALUE(97)</f>
        <v>284</v>
      </c>
      <c r="C35" s="130">
        <v>114187</v>
      </c>
      <c r="D35" s="129">
        <f>_xlfn.COMPOUNDVALUE(98)</f>
        <v>732</v>
      </c>
      <c r="E35" s="130">
        <v>229529</v>
      </c>
      <c r="F35" s="129">
        <f>_xlfn.COMPOUNDVALUE(99)</f>
        <v>1016</v>
      </c>
      <c r="G35" s="130">
        <v>343716</v>
      </c>
      <c r="H35" s="129">
        <f>_xlfn.COMPOUNDVALUE(100)</f>
        <v>23</v>
      </c>
      <c r="I35" s="131">
        <v>24971</v>
      </c>
      <c r="J35" s="129">
        <v>59</v>
      </c>
      <c r="K35" s="131">
        <v>3619</v>
      </c>
      <c r="L35" s="129">
        <f>_xlfn.COMPOUNDVALUE(100)</f>
        <v>1051</v>
      </c>
      <c r="M35" s="131">
        <v>322363</v>
      </c>
      <c r="N35" s="83" t="s">
        <v>72</v>
      </c>
    </row>
    <row r="36" spans="1:14" s="81" customFormat="1" ht="15.75" customHeight="1">
      <c r="A36" s="84" t="s">
        <v>73</v>
      </c>
      <c r="B36" s="132">
        <v>6536</v>
      </c>
      <c r="C36" s="133">
        <v>2444125</v>
      </c>
      <c r="D36" s="132">
        <v>11653</v>
      </c>
      <c r="E36" s="133">
        <v>2936216</v>
      </c>
      <c r="F36" s="132">
        <v>18189</v>
      </c>
      <c r="G36" s="133">
        <v>5380341</v>
      </c>
      <c r="H36" s="132">
        <v>480</v>
      </c>
      <c r="I36" s="134">
        <v>176385</v>
      </c>
      <c r="J36" s="132">
        <v>1270</v>
      </c>
      <c r="K36" s="134">
        <v>181616</v>
      </c>
      <c r="L36" s="132">
        <v>19297</v>
      </c>
      <c r="M36" s="134">
        <v>5385572</v>
      </c>
      <c r="N36" s="85" t="s">
        <v>74</v>
      </c>
    </row>
    <row r="37" spans="1:14" s="81" customFormat="1" ht="15.75" customHeight="1">
      <c r="A37" s="86"/>
      <c r="B37" s="135"/>
      <c r="C37" s="136"/>
      <c r="D37" s="135"/>
      <c r="E37" s="136"/>
      <c r="F37" s="137"/>
      <c r="G37" s="136"/>
      <c r="H37" s="137"/>
      <c r="I37" s="136"/>
      <c r="J37" s="137"/>
      <c r="K37" s="136"/>
      <c r="L37" s="137"/>
      <c r="M37" s="136"/>
      <c r="N37" s="87"/>
    </row>
    <row r="38" spans="1:14" s="81" customFormat="1" ht="15.75" customHeight="1">
      <c r="A38" s="79" t="s">
        <v>75</v>
      </c>
      <c r="B38" s="126">
        <f>_xlfn.COMPOUNDVALUE(101)</f>
        <v>1834</v>
      </c>
      <c r="C38" s="127">
        <v>767716</v>
      </c>
      <c r="D38" s="126">
        <f>_xlfn.COMPOUNDVALUE(102)</f>
        <v>3684</v>
      </c>
      <c r="E38" s="127">
        <v>993995</v>
      </c>
      <c r="F38" s="126">
        <f>_xlfn.COMPOUNDVALUE(103)</f>
        <v>5518</v>
      </c>
      <c r="G38" s="127">
        <v>1761711</v>
      </c>
      <c r="H38" s="126">
        <f>_xlfn.COMPOUNDVALUE(104)</f>
        <v>115</v>
      </c>
      <c r="I38" s="128">
        <v>58802</v>
      </c>
      <c r="J38" s="126">
        <v>449</v>
      </c>
      <c r="K38" s="128">
        <v>55669</v>
      </c>
      <c r="L38" s="126">
        <f>_xlfn.COMPOUNDVALUE(104)</f>
        <v>5856</v>
      </c>
      <c r="M38" s="128">
        <v>1758578</v>
      </c>
      <c r="N38" s="88" t="s">
        <v>75</v>
      </c>
    </row>
    <row r="39" spans="1:14" s="81" customFormat="1" ht="15.75" customHeight="1">
      <c r="A39" s="79" t="s">
        <v>76</v>
      </c>
      <c r="B39" s="126">
        <f>_xlfn.COMPOUNDVALUE(105)</f>
        <v>906</v>
      </c>
      <c r="C39" s="127">
        <v>363891</v>
      </c>
      <c r="D39" s="126">
        <f>_xlfn.COMPOUNDVALUE(106)</f>
        <v>2219</v>
      </c>
      <c r="E39" s="127">
        <v>535286</v>
      </c>
      <c r="F39" s="126">
        <f>_xlfn.COMPOUNDVALUE(107)</f>
        <v>3125</v>
      </c>
      <c r="G39" s="127">
        <v>899178</v>
      </c>
      <c r="H39" s="126">
        <f>_xlfn.COMPOUNDVALUE(108)</f>
        <v>81</v>
      </c>
      <c r="I39" s="128">
        <v>28506</v>
      </c>
      <c r="J39" s="126">
        <v>302</v>
      </c>
      <c r="K39" s="128">
        <v>26891</v>
      </c>
      <c r="L39" s="126">
        <f>_xlfn.COMPOUNDVALUE(108)</f>
        <v>3364</v>
      </c>
      <c r="M39" s="128">
        <v>897563</v>
      </c>
      <c r="N39" s="80" t="s">
        <v>76</v>
      </c>
    </row>
    <row r="40" spans="1:14" s="81" customFormat="1" ht="15.75" customHeight="1">
      <c r="A40" s="79" t="s">
        <v>77</v>
      </c>
      <c r="B40" s="126">
        <f>_xlfn.COMPOUNDVALUE(109)</f>
        <v>1649</v>
      </c>
      <c r="C40" s="127">
        <v>689363</v>
      </c>
      <c r="D40" s="126">
        <f>_xlfn.COMPOUNDVALUE(110)</f>
        <v>3269</v>
      </c>
      <c r="E40" s="127">
        <v>907519</v>
      </c>
      <c r="F40" s="126">
        <f>_xlfn.COMPOUNDVALUE(111)</f>
        <v>4918</v>
      </c>
      <c r="G40" s="127">
        <v>1596882</v>
      </c>
      <c r="H40" s="126">
        <f>_xlfn.COMPOUNDVALUE(112)</f>
        <v>112</v>
      </c>
      <c r="I40" s="128">
        <v>84272</v>
      </c>
      <c r="J40" s="126">
        <v>406</v>
      </c>
      <c r="K40" s="128">
        <v>65326</v>
      </c>
      <c r="L40" s="126">
        <f>_xlfn.COMPOUNDVALUE(112)</f>
        <v>5300</v>
      </c>
      <c r="M40" s="128">
        <v>1577937</v>
      </c>
      <c r="N40" s="80" t="s">
        <v>77</v>
      </c>
    </row>
    <row r="41" spans="1:14" s="81" customFormat="1" ht="15.75" customHeight="1">
      <c r="A41" s="79" t="s">
        <v>78</v>
      </c>
      <c r="B41" s="126">
        <f>_xlfn.COMPOUNDVALUE(113)</f>
        <v>846</v>
      </c>
      <c r="C41" s="127">
        <v>365016</v>
      </c>
      <c r="D41" s="126">
        <f>_xlfn.COMPOUNDVALUE(114)</f>
        <v>1515</v>
      </c>
      <c r="E41" s="127">
        <v>427315</v>
      </c>
      <c r="F41" s="126">
        <f>_xlfn.COMPOUNDVALUE(115)</f>
        <v>2361</v>
      </c>
      <c r="G41" s="127">
        <v>792332</v>
      </c>
      <c r="H41" s="126">
        <f>_xlfn.COMPOUNDVALUE(116)</f>
        <v>47</v>
      </c>
      <c r="I41" s="128">
        <v>47252</v>
      </c>
      <c r="J41" s="126">
        <v>252</v>
      </c>
      <c r="K41" s="128">
        <v>50325</v>
      </c>
      <c r="L41" s="126">
        <f>_xlfn.COMPOUNDVALUE(116)</f>
        <v>2563</v>
      </c>
      <c r="M41" s="128">
        <v>795404</v>
      </c>
      <c r="N41" s="80" t="s">
        <v>78</v>
      </c>
    </row>
    <row r="42" spans="1:14" s="81" customFormat="1" ht="15.75" customHeight="1">
      <c r="A42" s="79" t="s">
        <v>79</v>
      </c>
      <c r="B42" s="126">
        <f>_xlfn.COMPOUNDVALUE(117)</f>
        <v>1283</v>
      </c>
      <c r="C42" s="127">
        <v>812080</v>
      </c>
      <c r="D42" s="126">
        <f>_xlfn.COMPOUNDVALUE(118)</f>
        <v>2606</v>
      </c>
      <c r="E42" s="127">
        <v>848057</v>
      </c>
      <c r="F42" s="126">
        <f>_xlfn.COMPOUNDVALUE(119)</f>
        <v>3889</v>
      </c>
      <c r="G42" s="127">
        <v>1660137</v>
      </c>
      <c r="H42" s="126">
        <f>_xlfn.COMPOUNDVALUE(120)</f>
        <v>100</v>
      </c>
      <c r="I42" s="128">
        <v>97209</v>
      </c>
      <c r="J42" s="126">
        <v>314</v>
      </c>
      <c r="K42" s="128">
        <v>41552</v>
      </c>
      <c r="L42" s="126">
        <f>_xlfn.COMPOUNDVALUE(120)</f>
        <v>4143</v>
      </c>
      <c r="M42" s="128">
        <v>1604480</v>
      </c>
      <c r="N42" s="80" t="s">
        <v>79</v>
      </c>
    </row>
    <row r="43" spans="1:14" s="81" customFormat="1" ht="15.75" customHeight="1">
      <c r="A43" s="79" t="s">
        <v>80</v>
      </c>
      <c r="B43" s="126">
        <f>_xlfn.COMPOUNDVALUE(121)</f>
        <v>1111</v>
      </c>
      <c r="C43" s="127">
        <v>644355</v>
      </c>
      <c r="D43" s="126">
        <f>_xlfn.COMPOUNDVALUE(122)</f>
        <v>2062</v>
      </c>
      <c r="E43" s="127">
        <v>653875</v>
      </c>
      <c r="F43" s="126">
        <f>_xlfn.COMPOUNDVALUE(123)</f>
        <v>3173</v>
      </c>
      <c r="G43" s="127">
        <v>1298230</v>
      </c>
      <c r="H43" s="126">
        <f>_xlfn.COMPOUNDVALUE(124)</f>
        <v>74</v>
      </c>
      <c r="I43" s="128">
        <v>112614</v>
      </c>
      <c r="J43" s="126">
        <v>320</v>
      </c>
      <c r="K43" s="128">
        <v>44743</v>
      </c>
      <c r="L43" s="126">
        <f>_xlfn.COMPOUNDVALUE(124)</f>
        <v>3402</v>
      </c>
      <c r="M43" s="128">
        <v>1230359</v>
      </c>
      <c r="N43" s="80" t="s">
        <v>80</v>
      </c>
    </row>
    <row r="44" spans="1:14" s="81" customFormat="1" ht="15.75" customHeight="1">
      <c r="A44" s="79" t="s">
        <v>81</v>
      </c>
      <c r="B44" s="126">
        <f>_xlfn.COMPOUNDVALUE(125)</f>
        <v>635</v>
      </c>
      <c r="C44" s="127">
        <v>240092</v>
      </c>
      <c r="D44" s="126">
        <f>_xlfn.COMPOUNDVALUE(126)</f>
        <v>1332</v>
      </c>
      <c r="E44" s="127">
        <v>317168</v>
      </c>
      <c r="F44" s="126">
        <f>_xlfn.COMPOUNDVALUE(127)</f>
        <v>1967</v>
      </c>
      <c r="G44" s="127">
        <v>557260</v>
      </c>
      <c r="H44" s="126">
        <f>_xlfn.COMPOUNDVALUE(128)</f>
        <v>46</v>
      </c>
      <c r="I44" s="128">
        <v>35374</v>
      </c>
      <c r="J44" s="126">
        <v>124</v>
      </c>
      <c r="K44" s="128">
        <v>11061</v>
      </c>
      <c r="L44" s="126">
        <f>_xlfn.COMPOUNDVALUE(128)</f>
        <v>2065</v>
      </c>
      <c r="M44" s="128">
        <v>532948</v>
      </c>
      <c r="N44" s="80" t="s">
        <v>81</v>
      </c>
    </row>
    <row r="45" spans="1:14" s="81" customFormat="1" ht="15.75" customHeight="1">
      <c r="A45" s="79" t="s">
        <v>82</v>
      </c>
      <c r="B45" s="126">
        <f>_xlfn.COMPOUNDVALUE(129)</f>
        <v>302</v>
      </c>
      <c r="C45" s="127">
        <v>110354</v>
      </c>
      <c r="D45" s="126">
        <f>_xlfn.COMPOUNDVALUE(130)</f>
        <v>637</v>
      </c>
      <c r="E45" s="127">
        <v>147674</v>
      </c>
      <c r="F45" s="126">
        <f>_xlfn.COMPOUNDVALUE(131)</f>
        <v>939</v>
      </c>
      <c r="G45" s="127">
        <v>258027</v>
      </c>
      <c r="H45" s="126">
        <f>_xlfn.COMPOUNDVALUE(132)</f>
        <v>19</v>
      </c>
      <c r="I45" s="128">
        <v>3820</v>
      </c>
      <c r="J45" s="126">
        <v>30</v>
      </c>
      <c r="K45" s="128">
        <v>2335</v>
      </c>
      <c r="L45" s="126">
        <f>_xlfn.COMPOUNDVALUE(132)</f>
        <v>969</v>
      </c>
      <c r="M45" s="128">
        <v>256542</v>
      </c>
      <c r="N45" s="80" t="s">
        <v>82</v>
      </c>
    </row>
    <row r="46" spans="1:14" s="81" customFormat="1" ht="15.75" customHeight="1">
      <c r="A46" s="82" t="s">
        <v>83</v>
      </c>
      <c r="B46" s="129">
        <f>_xlfn.COMPOUNDVALUE(133)</f>
        <v>1431</v>
      </c>
      <c r="C46" s="130">
        <v>672588</v>
      </c>
      <c r="D46" s="129">
        <f>_xlfn.COMPOUNDVALUE(134)</f>
        <v>3209</v>
      </c>
      <c r="E46" s="130">
        <v>876123</v>
      </c>
      <c r="F46" s="129">
        <f>_xlfn.COMPOUNDVALUE(135)</f>
        <v>4640</v>
      </c>
      <c r="G46" s="130">
        <v>1548711</v>
      </c>
      <c r="H46" s="129">
        <f>_xlfn.COMPOUNDVALUE(136)</f>
        <v>110</v>
      </c>
      <c r="I46" s="131">
        <v>70640</v>
      </c>
      <c r="J46" s="129">
        <v>389</v>
      </c>
      <c r="K46" s="131">
        <v>45403</v>
      </c>
      <c r="L46" s="129">
        <f>_xlfn.COMPOUNDVALUE(136)</f>
        <v>4949</v>
      </c>
      <c r="M46" s="131">
        <v>1523474</v>
      </c>
      <c r="N46" s="83" t="s">
        <v>83</v>
      </c>
    </row>
    <row r="47" spans="1:14" s="81" customFormat="1" ht="15.75" customHeight="1">
      <c r="A47" s="82" t="s">
        <v>84</v>
      </c>
      <c r="B47" s="129">
        <f>_xlfn.COMPOUNDVALUE(137)</f>
        <v>375</v>
      </c>
      <c r="C47" s="130">
        <v>119897</v>
      </c>
      <c r="D47" s="129">
        <f>_xlfn.COMPOUNDVALUE(138)</f>
        <v>848</v>
      </c>
      <c r="E47" s="130">
        <v>199928</v>
      </c>
      <c r="F47" s="129">
        <f>_xlfn.COMPOUNDVALUE(139)</f>
        <v>1223</v>
      </c>
      <c r="G47" s="130">
        <v>319824</v>
      </c>
      <c r="H47" s="129">
        <f>_xlfn.COMPOUNDVALUE(140)</f>
        <v>34</v>
      </c>
      <c r="I47" s="131">
        <v>9593</v>
      </c>
      <c r="J47" s="129">
        <v>89</v>
      </c>
      <c r="K47" s="131">
        <v>7765</v>
      </c>
      <c r="L47" s="129">
        <f>_xlfn.COMPOUNDVALUE(140)</f>
        <v>1291</v>
      </c>
      <c r="M47" s="131">
        <v>317996</v>
      </c>
      <c r="N47" s="83" t="s">
        <v>84</v>
      </c>
    </row>
    <row r="48" spans="1:14" s="81" customFormat="1" ht="15.75" customHeight="1">
      <c r="A48" s="82" t="s">
        <v>85</v>
      </c>
      <c r="B48" s="129">
        <f>_xlfn.COMPOUNDVALUE(141)</f>
        <v>563</v>
      </c>
      <c r="C48" s="130">
        <v>196034</v>
      </c>
      <c r="D48" s="129">
        <f>_xlfn.COMPOUNDVALUE(142)</f>
        <v>964</v>
      </c>
      <c r="E48" s="130">
        <v>233842</v>
      </c>
      <c r="F48" s="129">
        <f>_xlfn.COMPOUNDVALUE(143)</f>
        <v>1527</v>
      </c>
      <c r="G48" s="130">
        <v>429876</v>
      </c>
      <c r="H48" s="129">
        <f>_xlfn.COMPOUNDVALUE(144)</f>
        <v>37</v>
      </c>
      <c r="I48" s="131">
        <v>14613</v>
      </c>
      <c r="J48" s="129">
        <v>194</v>
      </c>
      <c r="K48" s="131">
        <v>27577</v>
      </c>
      <c r="L48" s="129">
        <f>_xlfn.COMPOUNDVALUE(144)</f>
        <v>1624</v>
      </c>
      <c r="M48" s="131">
        <v>442839</v>
      </c>
      <c r="N48" s="83" t="s">
        <v>85</v>
      </c>
    </row>
    <row r="49" spans="1:14" s="81" customFormat="1" ht="15.75" customHeight="1">
      <c r="A49" s="82" t="s">
        <v>86</v>
      </c>
      <c r="B49" s="129">
        <f>_xlfn.COMPOUNDVALUE(145)</f>
        <v>1666</v>
      </c>
      <c r="C49" s="130">
        <v>611364</v>
      </c>
      <c r="D49" s="129">
        <f>_xlfn.COMPOUNDVALUE(146)</f>
        <v>3283</v>
      </c>
      <c r="E49" s="130">
        <v>838321</v>
      </c>
      <c r="F49" s="129">
        <f>_xlfn.COMPOUNDVALUE(147)</f>
        <v>4949</v>
      </c>
      <c r="G49" s="130">
        <v>1449685</v>
      </c>
      <c r="H49" s="129">
        <f>_xlfn.COMPOUNDVALUE(148)</f>
        <v>99</v>
      </c>
      <c r="I49" s="131">
        <v>104400</v>
      </c>
      <c r="J49" s="129">
        <v>471</v>
      </c>
      <c r="K49" s="131">
        <v>70570</v>
      </c>
      <c r="L49" s="129">
        <f>_xlfn.COMPOUNDVALUE(148)</f>
        <v>5310</v>
      </c>
      <c r="M49" s="131">
        <v>1415855</v>
      </c>
      <c r="N49" s="83" t="s">
        <v>86</v>
      </c>
    </row>
    <row r="50" spans="1:14" s="81" customFormat="1" ht="15.75" customHeight="1">
      <c r="A50" s="82" t="s">
        <v>87</v>
      </c>
      <c r="B50" s="129">
        <f>_xlfn.COMPOUNDVALUE(149)</f>
        <v>1006</v>
      </c>
      <c r="C50" s="130">
        <v>355391</v>
      </c>
      <c r="D50" s="129">
        <f>_xlfn.COMPOUNDVALUE(150)</f>
        <v>1933</v>
      </c>
      <c r="E50" s="130">
        <v>515531</v>
      </c>
      <c r="F50" s="129">
        <f>_xlfn.COMPOUNDVALUE(151)</f>
        <v>2939</v>
      </c>
      <c r="G50" s="130">
        <v>870923</v>
      </c>
      <c r="H50" s="129">
        <f>_xlfn.COMPOUNDVALUE(152)</f>
        <v>56</v>
      </c>
      <c r="I50" s="131">
        <v>46043</v>
      </c>
      <c r="J50" s="129">
        <v>204</v>
      </c>
      <c r="K50" s="131">
        <v>31707</v>
      </c>
      <c r="L50" s="129">
        <f>_xlfn.COMPOUNDVALUE(152)</f>
        <v>3123</v>
      </c>
      <c r="M50" s="131">
        <v>856587</v>
      </c>
      <c r="N50" s="83" t="s">
        <v>87</v>
      </c>
    </row>
    <row r="51" spans="1:14" s="81" customFormat="1" ht="15.75" customHeight="1">
      <c r="A51" s="82" t="s">
        <v>88</v>
      </c>
      <c r="B51" s="129">
        <f>_xlfn.COMPOUNDVALUE(153)</f>
        <v>1717</v>
      </c>
      <c r="C51" s="130">
        <v>627585</v>
      </c>
      <c r="D51" s="129">
        <f>_xlfn.COMPOUNDVALUE(154)</f>
        <v>3159</v>
      </c>
      <c r="E51" s="130">
        <v>865325</v>
      </c>
      <c r="F51" s="129">
        <f>_xlfn.COMPOUNDVALUE(155)</f>
        <v>4876</v>
      </c>
      <c r="G51" s="130">
        <v>1492910</v>
      </c>
      <c r="H51" s="129">
        <f>_xlfn.COMPOUNDVALUE(156)</f>
        <v>112</v>
      </c>
      <c r="I51" s="131">
        <v>143261</v>
      </c>
      <c r="J51" s="129">
        <v>382</v>
      </c>
      <c r="K51" s="131">
        <v>47165</v>
      </c>
      <c r="L51" s="129">
        <f>_xlfn.COMPOUNDVALUE(156)</f>
        <v>5170</v>
      </c>
      <c r="M51" s="131">
        <v>1396813</v>
      </c>
      <c r="N51" s="83" t="s">
        <v>88</v>
      </c>
    </row>
    <row r="52" spans="1:14" s="81" customFormat="1" ht="15.75" customHeight="1">
      <c r="A52" s="82" t="s">
        <v>89</v>
      </c>
      <c r="B52" s="129">
        <f>_xlfn.COMPOUNDVALUE(157)</f>
        <v>1039</v>
      </c>
      <c r="C52" s="130">
        <v>480681</v>
      </c>
      <c r="D52" s="129">
        <f>_xlfn.COMPOUNDVALUE(158)</f>
        <v>2064</v>
      </c>
      <c r="E52" s="130">
        <v>609034</v>
      </c>
      <c r="F52" s="129">
        <f>_xlfn.COMPOUNDVALUE(159)</f>
        <v>3103</v>
      </c>
      <c r="G52" s="130">
        <v>1089715</v>
      </c>
      <c r="H52" s="129">
        <f>_xlfn.COMPOUNDVALUE(160)</f>
        <v>70</v>
      </c>
      <c r="I52" s="131">
        <v>54184</v>
      </c>
      <c r="J52" s="129">
        <v>283</v>
      </c>
      <c r="K52" s="131">
        <v>34573</v>
      </c>
      <c r="L52" s="129">
        <f>_xlfn.COMPOUNDVALUE(160)</f>
        <v>3301</v>
      </c>
      <c r="M52" s="131">
        <v>1070104</v>
      </c>
      <c r="N52" s="83" t="s">
        <v>89</v>
      </c>
    </row>
    <row r="53" spans="1:14" s="81" customFormat="1" ht="15.75" customHeight="1">
      <c r="A53" s="84" t="s">
        <v>90</v>
      </c>
      <c r="B53" s="132">
        <v>16363</v>
      </c>
      <c r="C53" s="133">
        <v>7056406</v>
      </c>
      <c r="D53" s="132">
        <v>32784</v>
      </c>
      <c r="E53" s="133">
        <v>8968993</v>
      </c>
      <c r="F53" s="132">
        <v>49147</v>
      </c>
      <c r="G53" s="133">
        <v>16025399</v>
      </c>
      <c r="H53" s="132">
        <v>1112</v>
      </c>
      <c r="I53" s="134">
        <v>910583</v>
      </c>
      <c r="J53" s="132">
        <v>4209</v>
      </c>
      <c r="K53" s="134">
        <v>562662</v>
      </c>
      <c r="L53" s="132">
        <v>52430</v>
      </c>
      <c r="M53" s="134">
        <v>15677478</v>
      </c>
      <c r="N53" s="85" t="s">
        <v>91</v>
      </c>
    </row>
    <row r="54" spans="1:14" s="81" customFormat="1" ht="15.75" customHeight="1">
      <c r="A54" s="86"/>
      <c r="B54" s="135"/>
      <c r="C54" s="136"/>
      <c r="D54" s="135"/>
      <c r="E54" s="136"/>
      <c r="F54" s="137"/>
      <c r="G54" s="136"/>
      <c r="H54" s="137"/>
      <c r="I54" s="136"/>
      <c r="J54" s="137"/>
      <c r="K54" s="136"/>
      <c r="L54" s="137"/>
      <c r="M54" s="136"/>
      <c r="N54" s="87"/>
    </row>
    <row r="55" spans="1:14" s="81" customFormat="1" ht="15.75" customHeight="1">
      <c r="A55" s="79" t="s">
        <v>92</v>
      </c>
      <c r="B55" s="126">
        <f>_xlfn.COMPOUNDVALUE(161)</f>
        <v>1993</v>
      </c>
      <c r="C55" s="127">
        <v>819490</v>
      </c>
      <c r="D55" s="126">
        <f>_xlfn.COMPOUNDVALUE(162)</f>
        <v>3498</v>
      </c>
      <c r="E55" s="127">
        <v>910245</v>
      </c>
      <c r="F55" s="126">
        <f>_xlfn.COMPOUNDVALUE(163)</f>
        <v>5491</v>
      </c>
      <c r="G55" s="127">
        <v>1729735</v>
      </c>
      <c r="H55" s="126">
        <f>_xlfn.COMPOUNDVALUE(164)</f>
        <v>115</v>
      </c>
      <c r="I55" s="128">
        <v>53835</v>
      </c>
      <c r="J55" s="126">
        <v>529</v>
      </c>
      <c r="K55" s="128">
        <v>74809</v>
      </c>
      <c r="L55" s="126">
        <f>_xlfn.COMPOUNDVALUE(164)</f>
        <v>5831</v>
      </c>
      <c r="M55" s="128">
        <v>1750709</v>
      </c>
      <c r="N55" s="88" t="s">
        <v>92</v>
      </c>
    </row>
    <row r="56" spans="1:14" s="81" customFormat="1" ht="15.75" customHeight="1">
      <c r="A56" s="79" t="s">
        <v>93</v>
      </c>
      <c r="B56" s="126">
        <f>_xlfn.COMPOUNDVALUE(165)</f>
        <v>415</v>
      </c>
      <c r="C56" s="127">
        <v>146451</v>
      </c>
      <c r="D56" s="126">
        <f>_xlfn.COMPOUNDVALUE(166)</f>
        <v>723</v>
      </c>
      <c r="E56" s="127">
        <v>181222</v>
      </c>
      <c r="F56" s="126">
        <f>_xlfn.COMPOUNDVALUE(167)</f>
        <v>1138</v>
      </c>
      <c r="G56" s="127">
        <v>327673</v>
      </c>
      <c r="H56" s="126">
        <f>_xlfn.COMPOUNDVALUE(168)</f>
        <v>23</v>
      </c>
      <c r="I56" s="128">
        <v>6947</v>
      </c>
      <c r="J56" s="126">
        <v>103</v>
      </c>
      <c r="K56" s="128">
        <v>6070</v>
      </c>
      <c r="L56" s="126">
        <f>_xlfn.COMPOUNDVALUE(168)</f>
        <v>1176</v>
      </c>
      <c r="M56" s="128">
        <v>326796</v>
      </c>
      <c r="N56" s="80" t="s">
        <v>93</v>
      </c>
    </row>
    <row r="57" spans="1:14" s="81" customFormat="1" ht="15.75" customHeight="1">
      <c r="A57" s="79" t="s">
        <v>94</v>
      </c>
      <c r="B57" s="126">
        <f>_xlfn.COMPOUNDVALUE(169)</f>
        <v>658</v>
      </c>
      <c r="C57" s="127">
        <v>248316</v>
      </c>
      <c r="D57" s="126">
        <f>_xlfn.COMPOUNDVALUE(170)</f>
        <v>1116</v>
      </c>
      <c r="E57" s="127">
        <v>263962</v>
      </c>
      <c r="F57" s="126">
        <f>_xlfn.COMPOUNDVALUE(171)</f>
        <v>1774</v>
      </c>
      <c r="G57" s="127">
        <v>512279</v>
      </c>
      <c r="H57" s="126">
        <f>_xlfn.COMPOUNDVALUE(172)</f>
        <v>33</v>
      </c>
      <c r="I57" s="128">
        <v>18116</v>
      </c>
      <c r="J57" s="126">
        <v>86</v>
      </c>
      <c r="K57" s="128">
        <v>10177</v>
      </c>
      <c r="L57" s="126">
        <f>_xlfn.COMPOUNDVALUE(172)</f>
        <v>1831</v>
      </c>
      <c r="M57" s="128">
        <v>504339</v>
      </c>
      <c r="N57" s="80" t="s">
        <v>94</v>
      </c>
    </row>
    <row r="58" spans="1:14" s="81" customFormat="1" ht="15.75" customHeight="1">
      <c r="A58" s="79" t="s">
        <v>95</v>
      </c>
      <c r="B58" s="126">
        <f>_xlfn.COMPOUNDVALUE(173)</f>
        <v>719</v>
      </c>
      <c r="C58" s="127">
        <v>275644</v>
      </c>
      <c r="D58" s="126">
        <f>_xlfn.COMPOUNDVALUE(174)</f>
        <v>1234</v>
      </c>
      <c r="E58" s="127">
        <v>299280</v>
      </c>
      <c r="F58" s="126">
        <f>_xlfn.COMPOUNDVALUE(175)</f>
        <v>1953</v>
      </c>
      <c r="G58" s="127">
        <v>574923</v>
      </c>
      <c r="H58" s="126">
        <f>_xlfn.COMPOUNDVALUE(176)</f>
        <v>33</v>
      </c>
      <c r="I58" s="128">
        <v>3744</v>
      </c>
      <c r="J58" s="126">
        <v>160</v>
      </c>
      <c r="K58" s="128">
        <v>18357</v>
      </c>
      <c r="L58" s="126">
        <f>_xlfn.COMPOUNDVALUE(176)</f>
        <v>2059</v>
      </c>
      <c r="M58" s="128">
        <v>589536</v>
      </c>
      <c r="N58" s="80" t="s">
        <v>95</v>
      </c>
    </row>
    <row r="59" spans="1:14" s="81" customFormat="1" ht="15.75" customHeight="1">
      <c r="A59" s="79" t="s">
        <v>96</v>
      </c>
      <c r="B59" s="126">
        <f>_xlfn.COMPOUNDVALUE(177)</f>
        <v>677</v>
      </c>
      <c r="C59" s="127">
        <v>255134</v>
      </c>
      <c r="D59" s="126">
        <f>_xlfn.COMPOUNDVALUE(178)</f>
        <v>1175</v>
      </c>
      <c r="E59" s="127">
        <v>281415</v>
      </c>
      <c r="F59" s="126">
        <f>_xlfn.COMPOUNDVALUE(179)</f>
        <v>1852</v>
      </c>
      <c r="G59" s="127">
        <v>536549</v>
      </c>
      <c r="H59" s="126">
        <f>_xlfn.COMPOUNDVALUE(180)</f>
        <v>32</v>
      </c>
      <c r="I59" s="128">
        <v>4164</v>
      </c>
      <c r="J59" s="126">
        <v>141</v>
      </c>
      <c r="K59" s="128">
        <v>13072</v>
      </c>
      <c r="L59" s="126">
        <f>_xlfn.COMPOUNDVALUE(180)</f>
        <v>1926</v>
      </c>
      <c r="M59" s="128">
        <v>545457</v>
      </c>
      <c r="N59" s="80" t="s">
        <v>96</v>
      </c>
    </row>
    <row r="60" spans="1:14" s="81" customFormat="1" ht="15.75" customHeight="1">
      <c r="A60" s="79" t="s">
        <v>97</v>
      </c>
      <c r="B60" s="126">
        <f>_xlfn.COMPOUNDVALUE(181)</f>
        <v>227</v>
      </c>
      <c r="C60" s="127">
        <v>86515</v>
      </c>
      <c r="D60" s="126">
        <f>_xlfn.COMPOUNDVALUE(182)</f>
        <v>461</v>
      </c>
      <c r="E60" s="127">
        <v>114396</v>
      </c>
      <c r="F60" s="126">
        <f>_xlfn.COMPOUNDVALUE(183)</f>
        <v>688</v>
      </c>
      <c r="G60" s="127">
        <v>200911</v>
      </c>
      <c r="H60" s="126">
        <f>_xlfn.COMPOUNDVALUE(184)</f>
        <v>13</v>
      </c>
      <c r="I60" s="128">
        <v>14944</v>
      </c>
      <c r="J60" s="126">
        <v>58</v>
      </c>
      <c r="K60" s="128">
        <v>3451</v>
      </c>
      <c r="L60" s="126">
        <f>_xlfn.COMPOUNDVALUE(184)</f>
        <v>708</v>
      </c>
      <c r="M60" s="128">
        <v>189418</v>
      </c>
      <c r="N60" s="80" t="s">
        <v>97</v>
      </c>
    </row>
    <row r="61" spans="1:14" s="81" customFormat="1" ht="15.75" customHeight="1">
      <c r="A61" s="82" t="s">
        <v>98</v>
      </c>
      <c r="B61" s="129">
        <f>_xlfn.COMPOUNDVALUE(185)</f>
        <v>639</v>
      </c>
      <c r="C61" s="130">
        <v>287680</v>
      </c>
      <c r="D61" s="129">
        <f>_xlfn.COMPOUNDVALUE(186)</f>
        <v>1350</v>
      </c>
      <c r="E61" s="130">
        <v>328912</v>
      </c>
      <c r="F61" s="129">
        <f>_xlfn.COMPOUNDVALUE(187)</f>
        <v>1989</v>
      </c>
      <c r="G61" s="130">
        <v>616592</v>
      </c>
      <c r="H61" s="129">
        <f>_xlfn.COMPOUNDVALUE(188)</f>
        <v>37</v>
      </c>
      <c r="I61" s="131">
        <v>11520</v>
      </c>
      <c r="J61" s="129">
        <v>120</v>
      </c>
      <c r="K61" s="131">
        <v>14017</v>
      </c>
      <c r="L61" s="129">
        <f>_xlfn.COMPOUNDVALUE(188)</f>
        <v>2067</v>
      </c>
      <c r="M61" s="131">
        <v>619089</v>
      </c>
      <c r="N61" s="83" t="s">
        <v>98</v>
      </c>
    </row>
    <row r="62" spans="1:14" s="81" customFormat="1" ht="15.75" customHeight="1">
      <c r="A62" s="82" t="s">
        <v>99</v>
      </c>
      <c r="B62" s="129">
        <f>_xlfn.COMPOUNDVALUE(189)</f>
        <v>611</v>
      </c>
      <c r="C62" s="130">
        <v>239925</v>
      </c>
      <c r="D62" s="129">
        <f>_xlfn.COMPOUNDVALUE(190)</f>
        <v>1154</v>
      </c>
      <c r="E62" s="130">
        <v>287553</v>
      </c>
      <c r="F62" s="129">
        <f>_xlfn.COMPOUNDVALUE(191)</f>
        <v>1765</v>
      </c>
      <c r="G62" s="130">
        <v>527478</v>
      </c>
      <c r="H62" s="129">
        <f>_xlfn.COMPOUNDVALUE(192)</f>
        <v>22</v>
      </c>
      <c r="I62" s="131">
        <v>14420</v>
      </c>
      <c r="J62" s="129">
        <v>119</v>
      </c>
      <c r="K62" s="131">
        <v>7843</v>
      </c>
      <c r="L62" s="129">
        <f>_xlfn.COMPOUNDVALUE(192)</f>
        <v>1815</v>
      </c>
      <c r="M62" s="131">
        <v>520901</v>
      </c>
      <c r="N62" s="83" t="s">
        <v>99</v>
      </c>
    </row>
    <row r="63" spans="1:14" s="81" customFormat="1" ht="15.75" customHeight="1">
      <c r="A63" s="82" t="s">
        <v>100</v>
      </c>
      <c r="B63" s="129">
        <f>_xlfn.COMPOUNDVALUE(193)</f>
        <v>274</v>
      </c>
      <c r="C63" s="130">
        <v>108006</v>
      </c>
      <c r="D63" s="129">
        <f>_xlfn.COMPOUNDVALUE(194)</f>
        <v>572</v>
      </c>
      <c r="E63" s="130">
        <v>137860</v>
      </c>
      <c r="F63" s="129">
        <f>_xlfn.COMPOUNDVALUE(195)</f>
        <v>846</v>
      </c>
      <c r="G63" s="130">
        <v>245866</v>
      </c>
      <c r="H63" s="129">
        <f>_xlfn.COMPOUNDVALUE(196)</f>
        <v>11</v>
      </c>
      <c r="I63" s="131">
        <v>2043</v>
      </c>
      <c r="J63" s="129">
        <v>67</v>
      </c>
      <c r="K63" s="131">
        <v>9988</v>
      </c>
      <c r="L63" s="129">
        <f>_xlfn.COMPOUNDVALUE(196)</f>
        <v>893</v>
      </c>
      <c r="M63" s="131">
        <v>253811</v>
      </c>
      <c r="N63" s="83" t="s">
        <v>100</v>
      </c>
    </row>
    <row r="64" spans="1:14" s="81" customFormat="1" ht="15.75" customHeight="1">
      <c r="A64" s="82" t="s">
        <v>101</v>
      </c>
      <c r="B64" s="129">
        <f>_xlfn.COMPOUNDVALUE(197)</f>
        <v>263</v>
      </c>
      <c r="C64" s="130">
        <v>89716</v>
      </c>
      <c r="D64" s="129">
        <f>_xlfn.COMPOUNDVALUE(198)</f>
        <v>480</v>
      </c>
      <c r="E64" s="130">
        <v>114217</v>
      </c>
      <c r="F64" s="129">
        <f>_xlfn.COMPOUNDVALUE(199)</f>
        <v>743</v>
      </c>
      <c r="G64" s="130">
        <v>203933</v>
      </c>
      <c r="H64" s="129">
        <f>_xlfn.COMPOUNDVALUE(200)</f>
        <v>12</v>
      </c>
      <c r="I64" s="131">
        <v>1095</v>
      </c>
      <c r="J64" s="129">
        <v>87</v>
      </c>
      <c r="K64" s="131">
        <v>4568</v>
      </c>
      <c r="L64" s="129">
        <f>_xlfn.COMPOUNDVALUE(200)</f>
        <v>763</v>
      </c>
      <c r="M64" s="131">
        <v>207406</v>
      </c>
      <c r="N64" s="83" t="s">
        <v>101</v>
      </c>
    </row>
    <row r="65" spans="1:14" s="81" customFormat="1" ht="15.75" customHeight="1">
      <c r="A65" s="82" t="s">
        <v>102</v>
      </c>
      <c r="B65" s="129">
        <f>_xlfn.COMPOUNDVALUE(201)</f>
        <v>154</v>
      </c>
      <c r="C65" s="130">
        <v>65760</v>
      </c>
      <c r="D65" s="129">
        <f>_xlfn.COMPOUNDVALUE(202)</f>
        <v>322</v>
      </c>
      <c r="E65" s="130">
        <v>78874</v>
      </c>
      <c r="F65" s="129">
        <f>_xlfn.COMPOUNDVALUE(203)</f>
        <v>476</v>
      </c>
      <c r="G65" s="130">
        <v>144634</v>
      </c>
      <c r="H65" s="129">
        <f>_xlfn.COMPOUNDVALUE(204)</f>
        <v>8</v>
      </c>
      <c r="I65" s="131">
        <v>1881</v>
      </c>
      <c r="J65" s="129">
        <v>38</v>
      </c>
      <c r="K65" s="131">
        <v>4587</v>
      </c>
      <c r="L65" s="129">
        <f>_xlfn.COMPOUNDVALUE(204)</f>
        <v>497</v>
      </c>
      <c r="M65" s="131">
        <v>147340</v>
      </c>
      <c r="N65" s="83" t="s">
        <v>102</v>
      </c>
    </row>
    <row r="66" spans="1:14" s="81" customFormat="1" ht="15.75" customHeight="1">
      <c r="A66" s="82" t="s">
        <v>103</v>
      </c>
      <c r="B66" s="129">
        <f>_xlfn.COMPOUNDVALUE(205)</f>
        <v>723</v>
      </c>
      <c r="C66" s="130">
        <v>272000</v>
      </c>
      <c r="D66" s="129">
        <f>_xlfn.COMPOUNDVALUE(206)</f>
        <v>1230</v>
      </c>
      <c r="E66" s="130">
        <v>314126</v>
      </c>
      <c r="F66" s="129">
        <f>_xlfn.COMPOUNDVALUE(207)</f>
        <v>1953</v>
      </c>
      <c r="G66" s="130">
        <v>586126</v>
      </c>
      <c r="H66" s="129">
        <f>_xlfn.COMPOUNDVALUE(208)</f>
        <v>48</v>
      </c>
      <c r="I66" s="131">
        <v>13604</v>
      </c>
      <c r="J66" s="129">
        <v>202</v>
      </c>
      <c r="K66" s="131">
        <v>16933</v>
      </c>
      <c r="L66" s="129">
        <f>_xlfn.COMPOUNDVALUE(208)</f>
        <v>2065</v>
      </c>
      <c r="M66" s="131">
        <v>589454</v>
      </c>
      <c r="N66" s="83" t="s">
        <v>103</v>
      </c>
    </row>
    <row r="67" spans="1:14" s="81" customFormat="1" ht="15.75" customHeight="1">
      <c r="A67" s="82" t="s">
        <v>104</v>
      </c>
      <c r="B67" s="129">
        <f>_xlfn.COMPOUNDVALUE(209)</f>
        <v>230</v>
      </c>
      <c r="C67" s="130">
        <v>78890</v>
      </c>
      <c r="D67" s="129">
        <f>_xlfn.COMPOUNDVALUE(210)</f>
        <v>413</v>
      </c>
      <c r="E67" s="130">
        <v>89333</v>
      </c>
      <c r="F67" s="129">
        <f>_xlfn.COMPOUNDVALUE(211)</f>
        <v>643</v>
      </c>
      <c r="G67" s="130">
        <v>168223</v>
      </c>
      <c r="H67" s="129">
        <f>_xlfn.COMPOUNDVALUE(212)</f>
        <v>10</v>
      </c>
      <c r="I67" s="131">
        <v>3188</v>
      </c>
      <c r="J67" s="129">
        <v>63</v>
      </c>
      <c r="K67" s="131">
        <v>6540</v>
      </c>
      <c r="L67" s="129">
        <f>_xlfn.COMPOUNDVALUE(212)</f>
        <v>671</v>
      </c>
      <c r="M67" s="131">
        <v>171575</v>
      </c>
      <c r="N67" s="83" t="s">
        <v>105</v>
      </c>
    </row>
    <row r="68" spans="1:14" s="81" customFormat="1" ht="15.75" customHeight="1">
      <c r="A68" s="84" t="s">
        <v>106</v>
      </c>
      <c r="B68" s="132">
        <v>7583</v>
      </c>
      <c r="C68" s="133">
        <v>2973526</v>
      </c>
      <c r="D68" s="132">
        <v>13728</v>
      </c>
      <c r="E68" s="133">
        <v>3401395</v>
      </c>
      <c r="F68" s="132">
        <v>21311</v>
      </c>
      <c r="G68" s="133">
        <v>6374922</v>
      </c>
      <c r="H68" s="132">
        <v>397</v>
      </c>
      <c r="I68" s="134">
        <v>149500</v>
      </c>
      <c r="J68" s="132">
        <v>1773</v>
      </c>
      <c r="K68" s="134">
        <v>190411</v>
      </c>
      <c r="L68" s="132">
        <v>22302</v>
      </c>
      <c r="M68" s="134">
        <v>6415833</v>
      </c>
      <c r="N68" s="85" t="s">
        <v>107</v>
      </c>
    </row>
    <row r="69" spans="1:14" s="81" customFormat="1" ht="15.75" customHeight="1">
      <c r="A69" s="86"/>
      <c r="B69" s="135"/>
      <c r="C69" s="136"/>
      <c r="D69" s="135"/>
      <c r="E69" s="136"/>
      <c r="F69" s="137"/>
      <c r="G69" s="136"/>
      <c r="H69" s="137"/>
      <c r="I69" s="136"/>
      <c r="J69" s="137"/>
      <c r="K69" s="136"/>
      <c r="L69" s="137"/>
      <c r="M69" s="136"/>
      <c r="N69" s="87"/>
    </row>
    <row r="70" spans="1:14" s="81" customFormat="1" ht="15.75" customHeight="1">
      <c r="A70" s="79" t="s">
        <v>108</v>
      </c>
      <c r="B70" s="126">
        <f>_xlfn.COMPOUNDVALUE(213)</f>
        <v>1204</v>
      </c>
      <c r="C70" s="127">
        <v>415173</v>
      </c>
      <c r="D70" s="126">
        <f>_xlfn.COMPOUNDVALUE(214)</f>
        <v>1944</v>
      </c>
      <c r="E70" s="127">
        <v>504989</v>
      </c>
      <c r="F70" s="126">
        <f>_xlfn.COMPOUNDVALUE(215)</f>
        <v>3148</v>
      </c>
      <c r="G70" s="127">
        <v>920162</v>
      </c>
      <c r="H70" s="126">
        <f>_xlfn.COMPOUNDVALUE(216)</f>
        <v>87</v>
      </c>
      <c r="I70" s="128">
        <v>55786</v>
      </c>
      <c r="J70" s="126">
        <v>365</v>
      </c>
      <c r="K70" s="128">
        <v>36987</v>
      </c>
      <c r="L70" s="126">
        <f>_xlfn.COMPOUNDVALUE(216)</f>
        <v>3478</v>
      </c>
      <c r="M70" s="128">
        <v>901363</v>
      </c>
      <c r="N70" s="88" t="s">
        <v>108</v>
      </c>
    </row>
    <row r="71" spans="1:14" s="81" customFormat="1" ht="15.75" customHeight="1">
      <c r="A71" s="79" t="s">
        <v>109</v>
      </c>
      <c r="B71" s="126">
        <f>_xlfn.COMPOUNDVALUE(217)</f>
        <v>1350</v>
      </c>
      <c r="C71" s="127">
        <v>507722</v>
      </c>
      <c r="D71" s="126">
        <f>_xlfn.COMPOUNDVALUE(218)</f>
        <v>2470</v>
      </c>
      <c r="E71" s="127">
        <v>613790</v>
      </c>
      <c r="F71" s="126">
        <f>_xlfn.COMPOUNDVALUE(219)</f>
        <v>3820</v>
      </c>
      <c r="G71" s="127">
        <v>1121512</v>
      </c>
      <c r="H71" s="126">
        <f>_xlfn.COMPOUNDVALUE(220)</f>
        <v>81</v>
      </c>
      <c r="I71" s="128">
        <v>22811</v>
      </c>
      <c r="J71" s="126">
        <v>210</v>
      </c>
      <c r="K71" s="128">
        <v>29030</v>
      </c>
      <c r="L71" s="126">
        <f>_xlfn.COMPOUNDVALUE(220)</f>
        <v>3979</v>
      </c>
      <c r="M71" s="128">
        <v>1127731</v>
      </c>
      <c r="N71" s="80" t="s">
        <v>109</v>
      </c>
    </row>
    <row r="72" spans="1:14" s="81" customFormat="1" ht="15.75" customHeight="1">
      <c r="A72" s="79" t="s">
        <v>110</v>
      </c>
      <c r="B72" s="126">
        <f>_xlfn.COMPOUNDVALUE(221)</f>
        <v>827</v>
      </c>
      <c r="C72" s="127">
        <v>305361</v>
      </c>
      <c r="D72" s="126">
        <f>_xlfn.COMPOUNDVALUE(222)</f>
        <v>1312</v>
      </c>
      <c r="E72" s="127">
        <v>328917</v>
      </c>
      <c r="F72" s="126">
        <f>_xlfn.COMPOUNDVALUE(223)</f>
        <v>2139</v>
      </c>
      <c r="G72" s="127">
        <v>634278</v>
      </c>
      <c r="H72" s="126">
        <f>_xlfn.COMPOUNDVALUE(224)</f>
        <v>55</v>
      </c>
      <c r="I72" s="128">
        <v>11805</v>
      </c>
      <c r="J72" s="126">
        <v>174</v>
      </c>
      <c r="K72" s="128">
        <v>29231</v>
      </c>
      <c r="L72" s="126">
        <f>_xlfn.COMPOUNDVALUE(224)</f>
        <v>2265</v>
      </c>
      <c r="M72" s="128">
        <v>651704</v>
      </c>
      <c r="N72" s="80" t="s">
        <v>110</v>
      </c>
    </row>
    <row r="73" spans="1:14" s="81" customFormat="1" ht="15.75" customHeight="1">
      <c r="A73" s="82" t="s">
        <v>111</v>
      </c>
      <c r="B73" s="129">
        <f>_xlfn.COMPOUNDVALUE(225)</f>
        <v>601</v>
      </c>
      <c r="C73" s="130">
        <v>229158</v>
      </c>
      <c r="D73" s="129">
        <f>_xlfn.COMPOUNDVALUE(226)</f>
        <v>971</v>
      </c>
      <c r="E73" s="130">
        <v>235448</v>
      </c>
      <c r="F73" s="129">
        <f>_xlfn.COMPOUNDVALUE(227)</f>
        <v>1572</v>
      </c>
      <c r="G73" s="130">
        <v>464606</v>
      </c>
      <c r="H73" s="129">
        <f>_xlfn.COMPOUNDVALUE(228)</f>
        <v>34</v>
      </c>
      <c r="I73" s="131">
        <v>4297</v>
      </c>
      <c r="J73" s="129">
        <v>95</v>
      </c>
      <c r="K73" s="131">
        <v>10162</v>
      </c>
      <c r="L73" s="129">
        <f>_xlfn.COMPOUNDVALUE(228)</f>
        <v>1644</v>
      </c>
      <c r="M73" s="131">
        <v>470470</v>
      </c>
      <c r="N73" s="83" t="s">
        <v>111</v>
      </c>
    </row>
    <row r="74" spans="1:14" s="81" customFormat="1" ht="15.75" customHeight="1">
      <c r="A74" s="82" t="s">
        <v>112</v>
      </c>
      <c r="B74" s="129">
        <f>_xlfn.COMPOUNDVALUE(229)</f>
        <v>657</v>
      </c>
      <c r="C74" s="130">
        <v>264823</v>
      </c>
      <c r="D74" s="129">
        <f>_xlfn.COMPOUNDVALUE(230)</f>
        <v>1114</v>
      </c>
      <c r="E74" s="130">
        <v>268632</v>
      </c>
      <c r="F74" s="129">
        <f>_xlfn.COMPOUNDVALUE(231)</f>
        <v>1771</v>
      </c>
      <c r="G74" s="130">
        <v>533454</v>
      </c>
      <c r="H74" s="129">
        <f>_xlfn.COMPOUNDVALUE(232)</f>
        <v>47</v>
      </c>
      <c r="I74" s="131">
        <v>9174</v>
      </c>
      <c r="J74" s="129">
        <v>139</v>
      </c>
      <c r="K74" s="131">
        <v>12464</v>
      </c>
      <c r="L74" s="129">
        <f>_xlfn.COMPOUNDVALUE(232)</f>
        <v>1873</v>
      </c>
      <c r="M74" s="131">
        <v>536744</v>
      </c>
      <c r="N74" s="83" t="s">
        <v>112</v>
      </c>
    </row>
    <row r="75" spans="1:14" s="81" customFormat="1" ht="15.75" customHeight="1">
      <c r="A75" s="82" t="s">
        <v>113</v>
      </c>
      <c r="B75" s="129">
        <f>_xlfn.COMPOUNDVALUE(233)</f>
        <v>480</v>
      </c>
      <c r="C75" s="130">
        <v>154286</v>
      </c>
      <c r="D75" s="129">
        <f>_xlfn.COMPOUNDVALUE(234)</f>
        <v>988</v>
      </c>
      <c r="E75" s="130">
        <v>247658</v>
      </c>
      <c r="F75" s="129">
        <f>_xlfn.COMPOUNDVALUE(235)</f>
        <v>1468</v>
      </c>
      <c r="G75" s="130">
        <v>401944</v>
      </c>
      <c r="H75" s="129">
        <f>_xlfn.COMPOUNDVALUE(236)</f>
        <v>37</v>
      </c>
      <c r="I75" s="131">
        <v>7424</v>
      </c>
      <c r="J75" s="129">
        <v>116</v>
      </c>
      <c r="K75" s="131">
        <v>12763</v>
      </c>
      <c r="L75" s="129">
        <f>_xlfn.COMPOUNDVALUE(236)</f>
        <v>1563</v>
      </c>
      <c r="M75" s="131">
        <v>407284</v>
      </c>
      <c r="N75" s="83" t="s">
        <v>113</v>
      </c>
    </row>
    <row r="76" spans="1:14" s="81" customFormat="1" ht="15.75" customHeight="1">
      <c r="A76" s="82" t="s">
        <v>114</v>
      </c>
      <c r="B76" s="129">
        <f>_xlfn.COMPOUNDVALUE(237)</f>
        <v>416</v>
      </c>
      <c r="C76" s="130">
        <v>133255</v>
      </c>
      <c r="D76" s="129">
        <f>_xlfn.COMPOUNDVALUE(238)</f>
        <v>778</v>
      </c>
      <c r="E76" s="130">
        <v>180976</v>
      </c>
      <c r="F76" s="129">
        <f>_xlfn.COMPOUNDVALUE(239)</f>
        <v>1194</v>
      </c>
      <c r="G76" s="130">
        <v>314231</v>
      </c>
      <c r="H76" s="129">
        <f>_xlfn.COMPOUNDVALUE(240)</f>
        <v>22</v>
      </c>
      <c r="I76" s="131">
        <v>3108</v>
      </c>
      <c r="J76" s="129">
        <v>87</v>
      </c>
      <c r="K76" s="131">
        <v>9850</v>
      </c>
      <c r="L76" s="129">
        <f>_xlfn.COMPOUNDVALUE(240)</f>
        <v>1244</v>
      </c>
      <c r="M76" s="131">
        <v>320973</v>
      </c>
      <c r="N76" s="83" t="s">
        <v>114</v>
      </c>
    </row>
    <row r="77" spans="1:14" s="81" customFormat="1" ht="15.75" customHeight="1">
      <c r="A77" s="82" t="s">
        <v>115</v>
      </c>
      <c r="B77" s="129">
        <f>_xlfn.COMPOUNDVALUE(241)</f>
        <v>229</v>
      </c>
      <c r="C77" s="130">
        <v>70048</v>
      </c>
      <c r="D77" s="129">
        <f>_xlfn.COMPOUNDVALUE(242)</f>
        <v>379</v>
      </c>
      <c r="E77" s="130">
        <v>95685</v>
      </c>
      <c r="F77" s="129">
        <f>_xlfn.COMPOUNDVALUE(243)</f>
        <v>608</v>
      </c>
      <c r="G77" s="130">
        <v>165733</v>
      </c>
      <c r="H77" s="129">
        <f>_xlfn.COMPOUNDVALUE(244)</f>
        <v>13</v>
      </c>
      <c r="I77" s="131">
        <v>1618</v>
      </c>
      <c r="J77" s="129">
        <v>54</v>
      </c>
      <c r="K77" s="131">
        <v>-185</v>
      </c>
      <c r="L77" s="129">
        <f>_xlfn.COMPOUNDVALUE(244)</f>
        <v>634</v>
      </c>
      <c r="M77" s="131">
        <v>163929</v>
      </c>
      <c r="N77" s="83" t="s">
        <v>115</v>
      </c>
    </row>
    <row r="78" spans="1:14" s="81" customFormat="1" ht="15.75" customHeight="1">
      <c r="A78" s="82" t="s">
        <v>116</v>
      </c>
      <c r="B78" s="129">
        <f>_xlfn.COMPOUNDVALUE(245)</f>
        <v>864</v>
      </c>
      <c r="C78" s="130">
        <v>347140</v>
      </c>
      <c r="D78" s="129">
        <f>_xlfn.COMPOUNDVALUE(246)</f>
        <v>1999</v>
      </c>
      <c r="E78" s="130">
        <v>573738</v>
      </c>
      <c r="F78" s="129">
        <f>_xlfn.COMPOUNDVALUE(247)</f>
        <v>2863</v>
      </c>
      <c r="G78" s="130">
        <v>920878</v>
      </c>
      <c r="H78" s="129">
        <f>_xlfn.COMPOUNDVALUE(248)</f>
        <v>55</v>
      </c>
      <c r="I78" s="131">
        <v>15137</v>
      </c>
      <c r="J78" s="129">
        <v>255</v>
      </c>
      <c r="K78" s="131">
        <v>30576</v>
      </c>
      <c r="L78" s="129">
        <f>_xlfn.COMPOUNDVALUE(248)</f>
        <v>3012</v>
      </c>
      <c r="M78" s="131">
        <v>936317</v>
      </c>
      <c r="N78" s="83" t="s">
        <v>116</v>
      </c>
    </row>
    <row r="79" spans="1:14" s="81" customFormat="1" ht="15.75" customHeight="1">
      <c r="A79" s="82" t="s">
        <v>117</v>
      </c>
      <c r="B79" s="129">
        <f>_xlfn.COMPOUNDVALUE(249)</f>
        <v>156</v>
      </c>
      <c r="C79" s="130">
        <v>42126</v>
      </c>
      <c r="D79" s="129">
        <f>_xlfn.COMPOUNDVALUE(250)</f>
        <v>219</v>
      </c>
      <c r="E79" s="130">
        <v>51098</v>
      </c>
      <c r="F79" s="129">
        <f>_xlfn.COMPOUNDVALUE(251)</f>
        <v>375</v>
      </c>
      <c r="G79" s="130">
        <v>93224</v>
      </c>
      <c r="H79" s="129">
        <f>_xlfn.COMPOUNDVALUE(252)</f>
        <v>8</v>
      </c>
      <c r="I79" s="131">
        <v>409</v>
      </c>
      <c r="J79" s="129">
        <v>6</v>
      </c>
      <c r="K79" s="131">
        <v>124</v>
      </c>
      <c r="L79" s="129">
        <f>_xlfn.COMPOUNDVALUE(252)</f>
        <v>385</v>
      </c>
      <c r="M79" s="131">
        <v>92939</v>
      </c>
      <c r="N79" s="83" t="s">
        <v>117</v>
      </c>
    </row>
    <row r="80" spans="1:14" s="81" customFormat="1" ht="15.75" customHeight="1">
      <c r="A80" s="84" t="s">
        <v>118</v>
      </c>
      <c r="B80" s="132">
        <v>6784</v>
      </c>
      <c r="C80" s="133">
        <v>2469092</v>
      </c>
      <c r="D80" s="132">
        <v>12174</v>
      </c>
      <c r="E80" s="133">
        <v>3100930</v>
      </c>
      <c r="F80" s="132">
        <v>18958</v>
      </c>
      <c r="G80" s="133">
        <v>5570022</v>
      </c>
      <c r="H80" s="132">
        <v>439</v>
      </c>
      <c r="I80" s="134">
        <v>131569</v>
      </c>
      <c r="J80" s="132">
        <v>1501</v>
      </c>
      <c r="K80" s="134">
        <v>171001</v>
      </c>
      <c r="L80" s="132">
        <v>20077</v>
      </c>
      <c r="M80" s="134">
        <v>5609454</v>
      </c>
      <c r="N80" s="85" t="s">
        <v>119</v>
      </c>
    </row>
    <row r="81" spans="1:15" s="81" customFormat="1" ht="15.75" customHeight="1" thickBot="1">
      <c r="A81" s="89"/>
      <c r="B81" s="138"/>
      <c r="C81" s="139"/>
      <c r="D81" s="138"/>
      <c r="E81" s="139"/>
      <c r="F81" s="140"/>
      <c r="G81" s="139"/>
      <c r="H81" s="140"/>
      <c r="I81" s="139"/>
      <c r="J81" s="140"/>
      <c r="K81" s="139"/>
      <c r="L81" s="140"/>
      <c r="M81" s="139"/>
      <c r="N81" s="90"/>
      <c r="O81" s="91"/>
    </row>
    <row r="82" spans="1:14" s="81" customFormat="1" ht="15.75" customHeight="1" thickBot="1" thickTop="1">
      <c r="A82" s="92" t="s">
        <v>120</v>
      </c>
      <c r="B82" s="141">
        <v>53567</v>
      </c>
      <c r="C82" s="142">
        <v>21637471</v>
      </c>
      <c r="D82" s="141">
        <v>99724</v>
      </c>
      <c r="E82" s="142">
        <v>25952648</v>
      </c>
      <c r="F82" s="141">
        <v>153291</v>
      </c>
      <c r="G82" s="142">
        <v>47590119</v>
      </c>
      <c r="H82" s="141">
        <v>3643</v>
      </c>
      <c r="I82" s="143">
        <v>1892722</v>
      </c>
      <c r="J82" s="141">
        <v>12217</v>
      </c>
      <c r="K82" s="143">
        <v>1554744</v>
      </c>
      <c r="L82" s="141">
        <v>162614</v>
      </c>
      <c r="M82" s="143">
        <v>47252142</v>
      </c>
      <c r="N82" s="93" t="s">
        <v>121</v>
      </c>
    </row>
    <row r="83" spans="1:14" ht="13.5">
      <c r="A83" s="191" t="s">
        <v>122</v>
      </c>
      <c r="B83" s="191"/>
      <c r="C83" s="191"/>
      <c r="D83" s="191"/>
      <c r="E83" s="191"/>
      <c r="F83" s="191"/>
      <c r="G83" s="191"/>
      <c r="H83" s="191"/>
      <c r="I83" s="191"/>
      <c r="J83" s="94"/>
      <c r="K83" s="94"/>
      <c r="L83" s="65"/>
      <c r="M83" s="65"/>
      <c r="N83" s="65"/>
    </row>
    <row r="85" spans="2:10" ht="13.5">
      <c r="B85" s="95"/>
      <c r="C85" s="95"/>
      <c r="D85" s="95"/>
      <c r="E85" s="95"/>
      <c r="F85" s="95"/>
      <c r="G85" s="95"/>
      <c r="H85" s="95"/>
      <c r="J85" s="95"/>
    </row>
    <row r="86" spans="2:10" ht="13.5">
      <c r="B86" s="95"/>
      <c r="C86" s="95"/>
      <c r="D86" s="95"/>
      <c r="E86" s="95"/>
      <c r="F86" s="95"/>
      <c r="G86" s="95"/>
      <c r="H86" s="95"/>
      <c r="J86" s="95"/>
    </row>
    <row r="87" spans="2:10" ht="13.5">
      <c r="B87" s="95"/>
      <c r="C87" s="95"/>
      <c r="D87" s="95"/>
      <c r="E87" s="95"/>
      <c r="F87" s="95"/>
      <c r="G87" s="95"/>
      <c r="H87" s="95"/>
      <c r="J87" s="95"/>
    </row>
    <row r="88" spans="2:10" ht="13.5">
      <c r="B88" s="95"/>
      <c r="C88" s="95"/>
      <c r="D88" s="95"/>
      <c r="E88" s="95"/>
      <c r="F88" s="95"/>
      <c r="G88" s="95"/>
      <c r="H88" s="95"/>
      <c r="J88" s="95"/>
    </row>
    <row r="89" spans="2:10" ht="13.5">
      <c r="B89" s="95"/>
      <c r="C89" s="95"/>
      <c r="D89" s="95"/>
      <c r="E89" s="95"/>
      <c r="F89" s="95"/>
      <c r="G89" s="95"/>
      <c r="H89" s="95"/>
      <c r="J89" s="95"/>
    </row>
    <row r="90" spans="2:10" ht="13.5">
      <c r="B90" s="95"/>
      <c r="C90" s="95"/>
      <c r="D90" s="95"/>
      <c r="E90" s="95"/>
      <c r="F90" s="95"/>
      <c r="G90" s="95"/>
      <c r="H90" s="95"/>
      <c r="J90" s="95"/>
    </row>
    <row r="91" spans="2:10" ht="13.5">
      <c r="B91" s="95"/>
      <c r="C91" s="95"/>
      <c r="D91" s="95"/>
      <c r="E91" s="95"/>
      <c r="F91" s="95"/>
      <c r="G91" s="95"/>
      <c r="H91" s="95"/>
      <c r="J91" s="95"/>
    </row>
    <row r="92" spans="2:10" ht="13.5">
      <c r="B92" s="95"/>
      <c r="C92" s="95"/>
      <c r="D92" s="95"/>
      <c r="E92" s="95"/>
      <c r="F92" s="95"/>
      <c r="G92" s="95"/>
      <c r="H92" s="95"/>
      <c r="J92" s="95"/>
    </row>
    <row r="93" spans="2:10" ht="13.5">
      <c r="B93" s="95"/>
      <c r="C93" s="95"/>
      <c r="D93" s="95"/>
      <c r="E93" s="95"/>
      <c r="F93" s="95"/>
      <c r="G93" s="95"/>
      <c r="H93" s="95"/>
      <c r="J93" s="95"/>
    </row>
    <row r="94" spans="2:10" ht="13.5">
      <c r="B94" s="95"/>
      <c r="C94" s="95"/>
      <c r="D94" s="95"/>
      <c r="E94" s="95"/>
      <c r="F94" s="95"/>
      <c r="G94" s="95"/>
      <c r="H94" s="95"/>
      <c r="J94" s="95"/>
    </row>
    <row r="95" spans="2:10" ht="13.5">
      <c r="B95" s="95"/>
      <c r="C95" s="95"/>
      <c r="D95" s="95"/>
      <c r="E95" s="95"/>
      <c r="F95" s="95"/>
      <c r="G95" s="95"/>
      <c r="H95" s="95"/>
      <c r="J95" s="95"/>
    </row>
    <row r="96" spans="2:10" ht="13.5">
      <c r="B96" s="95"/>
      <c r="C96" s="95"/>
      <c r="D96" s="95"/>
      <c r="E96" s="95"/>
      <c r="F96" s="95"/>
      <c r="G96" s="95"/>
      <c r="H96" s="95"/>
      <c r="J96" s="95"/>
    </row>
    <row r="97" spans="2:10" ht="13.5">
      <c r="B97" s="95"/>
      <c r="C97" s="95"/>
      <c r="D97" s="95"/>
      <c r="E97" s="95"/>
      <c r="F97" s="95"/>
      <c r="G97" s="95"/>
      <c r="H97" s="95"/>
      <c r="J97" s="95"/>
    </row>
  </sheetData>
  <sheetProtection/>
  <mergeCells count="11">
    <mergeCell ref="N3:N5"/>
    <mergeCell ref="B4:C4"/>
    <mergeCell ref="D4:E4"/>
    <mergeCell ref="F4:G4"/>
    <mergeCell ref="A83:I83"/>
    <mergeCell ref="L3:M4"/>
    <mergeCell ref="A2:G2"/>
    <mergeCell ref="A3:A5"/>
    <mergeCell ref="B3:G3"/>
    <mergeCell ref="H3:I4"/>
    <mergeCell ref="J3:K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3" r:id="rId1"/>
  <headerFooter alignWithMargins="0">
    <oddFooter>&amp;R関東信越国税局
消費税
(H25)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83"/>
  <sheetViews>
    <sheetView zoomScale="85" zoomScaleNormal="85" zoomScalePageLayoutView="0" workbookViewId="0" topLeftCell="A1">
      <selection activeCell="A1" sqref="A1"/>
    </sheetView>
  </sheetViews>
  <sheetFormatPr defaultColWidth="9.00390625" defaultRowHeight="13.5"/>
  <cols>
    <col min="1" max="1" width="11.125" style="66" customWidth="1"/>
    <col min="2" max="2" width="10.625" style="66" customWidth="1"/>
    <col min="3" max="3" width="12.625" style="66" customWidth="1"/>
    <col min="4" max="4" width="10.625" style="66" customWidth="1"/>
    <col min="5" max="5" width="12.625" style="66" customWidth="1"/>
    <col min="6" max="6" width="10.625" style="66" customWidth="1"/>
    <col min="7" max="7" width="12.625" style="66" customWidth="1"/>
    <col min="8" max="8" width="10.625" style="66" customWidth="1"/>
    <col min="9" max="9" width="12.625" style="66" customWidth="1"/>
    <col min="10" max="10" width="10.625" style="66" customWidth="1"/>
    <col min="11" max="11" width="12.625" style="66" customWidth="1"/>
    <col min="12" max="12" width="10.625" style="66" customWidth="1"/>
    <col min="13" max="13" width="12.625" style="66" customWidth="1"/>
    <col min="14" max="14" width="11.375" style="66" customWidth="1"/>
    <col min="15" max="16384" width="9.00390625" style="66" customWidth="1"/>
  </cols>
  <sheetData>
    <row r="1" spans="1:13" ht="13.5">
      <c r="A1" s="64" t="s">
        <v>123</v>
      </c>
      <c r="B1" s="64"/>
      <c r="C1" s="64"/>
      <c r="D1" s="64"/>
      <c r="E1" s="64"/>
      <c r="F1" s="64"/>
      <c r="G1" s="64"/>
      <c r="H1" s="64"/>
      <c r="I1" s="64"/>
      <c r="J1" s="64"/>
      <c r="K1" s="64"/>
      <c r="L1" s="65"/>
      <c r="M1" s="65"/>
    </row>
    <row r="2" spans="1:13" ht="14.25" thickBot="1">
      <c r="A2" s="207" t="s">
        <v>124</v>
      </c>
      <c r="B2" s="207"/>
      <c r="C2" s="207"/>
      <c r="D2" s="207"/>
      <c r="E2" s="207"/>
      <c r="F2" s="207"/>
      <c r="G2" s="207"/>
      <c r="H2" s="207"/>
      <c r="I2" s="207"/>
      <c r="J2" s="94"/>
      <c r="K2" s="94"/>
      <c r="L2" s="65"/>
      <c r="M2" s="65"/>
    </row>
    <row r="3" spans="1:14" ht="19.5" customHeight="1">
      <c r="A3" s="197" t="s">
        <v>30</v>
      </c>
      <c r="B3" s="200" t="s">
        <v>31</v>
      </c>
      <c r="C3" s="200"/>
      <c r="D3" s="200"/>
      <c r="E3" s="200"/>
      <c r="F3" s="200"/>
      <c r="G3" s="200"/>
      <c r="H3" s="192" t="s">
        <v>13</v>
      </c>
      <c r="I3" s="193"/>
      <c r="J3" s="201" t="s">
        <v>32</v>
      </c>
      <c r="K3" s="193"/>
      <c r="L3" s="192" t="s">
        <v>33</v>
      </c>
      <c r="M3" s="193"/>
      <c r="N3" s="202" t="s">
        <v>125</v>
      </c>
    </row>
    <row r="4" spans="1:14" ht="17.25" customHeight="1">
      <c r="A4" s="198"/>
      <c r="B4" s="194" t="s">
        <v>16</v>
      </c>
      <c r="C4" s="206"/>
      <c r="D4" s="194" t="s">
        <v>35</v>
      </c>
      <c r="E4" s="206"/>
      <c r="F4" s="194" t="s">
        <v>36</v>
      </c>
      <c r="G4" s="206"/>
      <c r="H4" s="194"/>
      <c r="I4" s="195"/>
      <c r="J4" s="194"/>
      <c r="K4" s="195"/>
      <c r="L4" s="194"/>
      <c r="M4" s="195"/>
      <c r="N4" s="203"/>
    </row>
    <row r="5" spans="1:14" ht="28.5" customHeight="1">
      <c r="A5" s="199"/>
      <c r="B5" s="67" t="s">
        <v>37</v>
      </c>
      <c r="C5" s="68" t="s">
        <v>38</v>
      </c>
      <c r="D5" s="67" t="s">
        <v>37</v>
      </c>
      <c r="E5" s="68" t="s">
        <v>38</v>
      </c>
      <c r="F5" s="67" t="s">
        <v>37</v>
      </c>
      <c r="G5" s="69" t="s">
        <v>39</v>
      </c>
      <c r="H5" s="67" t="s">
        <v>37</v>
      </c>
      <c r="I5" s="70" t="s">
        <v>40</v>
      </c>
      <c r="J5" s="67" t="s">
        <v>37</v>
      </c>
      <c r="K5" s="70" t="s">
        <v>41</v>
      </c>
      <c r="L5" s="67" t="s">
        <v>37</v>
      </c>
      <c r="M5" s="71" t="s">
        <v>42</v>
      </c>
      <c r="N5" s="204"/>
    </row>
    <row r="6" spans="1:14" s="96" customFormat="1" ht="10.5">
      <c r="A6" s="73"/>
      <c r="B6" s="74" t="s">
        <v>4</v>
      </c>
      <c r="C6" s="75" t="s">
        <v>5</v>
      </c>
      <c r="D6" s="74" t="s">
        <v>4</v>
      </c>
      <c r="E6" s="75" t="s">
        <v>5</v>
      </c>
      <c r="F6" s="74" t="s">
        <v>4</v>
      </c>
      <c r="G6" s="75" t="s">
        <v>5</v>
      </c>
      <c r="H6" s="74" t="s">
        <v>4</v>
      </c>
      <c r="I6" s="76" t="s">
        <v>5</v>
      </c>
      <c r="J6" s="74" t="s">
        <v>4</v>
      </c>
      <c r="K6" s="76" t="s">
        <v>5</v>
      </c>
      <c r="L6" s="74" t="s">
        <v>4</v>
      </c>
      <c r="M6" s="76" t="s">
        <v>5</v>
      </c>
      <c r="N6" s="77"/>
    </row>
    <row r="7" spans="1:14" ht="15.75" customHeight="1">
      <c r="A7" s="79" t="s">
        <v>43</v>
      </c>
      <c r="B7" s="126">
        <f>_xlfn.COMPOUNDVALUE(253)</f>
        <v>4439</v>
      </c>
      <c r="C7" s="127">
        <v>23805845</v>
      </c>
      <c r="D7" s="126">
        <f>_xlfn.COMPOUNDVALUE(254)</f>
        <v>1856</v>
      </c>
      <c r="E7" s="127">
        <v>717266</v>
      </c>
      <c r="F7" s="126">
        <f>_xlfn.COMPOUNDVALUE(255)</f>
        <v>6295</v>
      </c>
      <c r="G7" s="127">
        <v>24523112</v>
      </c>
      <c r="H7" s="126">
        <f>_xlfn.COMPOUNDVALUE(256)</f>
        <v>222</v>
      </c>
      <c r="I7" s="128">
        <v>1286478</v>
      </c>
      <c r="J7" s="126">
        <v>459</v>
      </c>
      <c r="K7" s="128">
        <v>81850</v>
      </c>
      <c r="L7" s="126">
        <f>_xlfn.COMPOUNDVALUE(256)</f>
        <v>6581</v>
      </c>
      <c r="M7" s="128">
        <v>23318483</v>
      </c>
      <c r="N7" s="80" t="s">
        <v>43</v>
      </c>
    </row>
    <row r="8" spans="1:14" ht="15.75" customHeight="1">
      <c r="A8" s="82" t="s">
        <v>44</v>
      </c>
      <c r="B8" s="129">
        <f>_xlfn.COMPOUNDVALUE(257)</f>
        <v>1731</v>
      </c>
      <c r="C8" s="130">
        <v>12575797</v>
      </c>
      <c r="D8" s="129">
        <f>_xlfn.COMPOUNDVALUE(258)</f>
        <v>806</v>
      </c>
      <c r="E8" s="130">
        <v>313845</v>
      </c>
      <c r="F8" s="129">
        <f>_xlfn.COMPOUNDVALUE(259)</f>
        <v>2537</v>
      </c>
      <c r="G8" s="130">
        <v>12889642</v>
      </c>
      <c r="H8" s="129">
        <f>_xlfn.COMPOUNDVALUE(260)</f>
        <v>85</v>
      </c>
      <c r="I8" s="131">
        <v>913474</v>
      </c>
      <c r="J8" s="129">
        <v>209</v>
      </c>
      <c r="K8" s="131">
        <v>3892</v>
      </c>
      <c r="L8" s="129">
        <f>_xlfn.COMPOUNDVALUE(260)</f>
        <v>2636</v>
      </c>
      <c r="M8" s="131">
        <v>11980060</v>
      </c>
      <c r="N8" s="83" t="s">
        <v>44</v>
      </c>
    </row>
    <row r="9" spans="1:14" ht="15.75" customHeight="1">
      <c r="A9" s="82" t="s">
        <v>45</v>
      </c>
      <c r="B9" s="129">
        <f>_xlfn.COMPOUNDVALUE(261)</f>
        <v>4201</v>
      </c>
      <c r="C9" s="130">
        <v>20885281</v>
      </c>
      <c r="D9" s="129">
        <f>_xlfn.COMPOUNDVALUE(262)</f>
        <v>1924</v>
      </c>
      <c r="E9" s="130">
        <v>735733</v>
      </c>
      <c r="F9" s="129">
        <f>_xlfn.COMPOUNDVALUE(263)</f>
        <v>6125</v>
      </c>
      <c r="G9" s="130">
        <v>21621013</v>
      </c>
      <c r="H9" s="129">
        <f>_xlfn.COMPOUNDVALUE(264)</f>
        <v>326</v>
      </c>
      <c r="I9" s="131">
        <v>1080799</v>
      </c>
      <c r="J9" s="129">
        <v>432</v>
      </c>
      <c r="K9" s="131">
        <v>47732</v>
      </c>
      <c r="L9" s="129">
        <f>_xlfn.COMPOUNDVALUE(264)</f>
        <v>6516</v>
      </c>
      <c r="M9" s="131">
        <v>20587947</v>
      </c>
      <c r="N9" s="83" t="s">
        <v>45</v>
      </c>
    </row>
    <row r="10" spans="1:14" ht="15.75" customHeight="1">
      <c r="A10" s="82" t="s">
        <v>46</v>
      </c>
      <c r="B10" s="129">
        <f>_xlfn.COMPOUNDVALUE(265)</f>
        <v>2394</v>
      </c>
      <c r="C10" s="130">
        <v>8012522</v>
      </c>
      <c r="D10" s="129">
        <f>_xlfn.COMPOUNDVALUE(266)</f>
        <v>1112</v>
      </c>
      <c r="E10" s="130">
        <v>425997</v>
      </c>
      <c r="F10" s="129">
        <f>_xlfn.COMPOUNDVALUE(267)</f>
        <v>3506</v>
      </c>
      <c r="G10" s="130">
        <v>8438519</v>
      </c>
      <c r="H10" s="129">
        <f>_xlfn.COMPOUNDVALUE(268)</f>
        <v>162</v>
      </c>
      <c r="I10" s="131">
        <v>366603</v>
      </c>
      <c r="J10" s="129">
        <v>245</v>
      </c>
      <c r="K10" s="131">
        <v>15377</v>
      </c>
      <c r="L10" s="129">
        <f>_xlfn.COMPOUNDVALUE(268)</f>
        <v>3696</v>
      </c>
      <c r="M10" s="131">
        <v>8087292</v>
      </c>
      <c r="N10" s="83" t="s">
        <v>46</v>
      </c>
    </row>
    <row r="11" spans="1:14" ht="15.75" customHeight="1">
      <c r="A11" s="82" t="s">
        <v>47</v>
      </c>
      <c r="B11" s="129">
        <f>_xlfn.COMPOUNDVALUE(269)</f>
        <v>3327</v>
      </c>
      <c r="C11" s="130">
        <v>10622300</v>
      </c>
      <c r="D11" s="129">
        <f>_xlfn.COMPOUNDVALUE(270)</f>
        <v>1595</v>
      </c>
      <c r="E11" s="130">
        <v>603179</v>
      </c>
      <c r="F11" s="129">
        <f>_xlfn.COMPOUNDVALUE(271)</f>
        <v>4922</v>
      </c>
      <c r="G11" s="130">
        <v>11225479</v>
      </c>
      <c r="H11" s="129">
        <f>_xlfn.COMPOUNDVALUE(272)</f>
        <v>178</v>
      </c>
      <c r="I11" s="131">
        <v>357941</v>
      </c>
      <c r="J11" s="129">
        <v>248</v>
      </c>
      <c r="K11" s="131">
        <v>15529</v>
      </c>
      <c r="L11" s="129">
        <f>_xlfn.COMPOUNDVALUE(272)</f>
        <v>5135</v>
      </c>
      <c r="M11" s="131">
        <v>10883067</v>
      </c>
      <c r="N11" s="83" t="s">
        <v>47</v>
      </c>
    </row>
    <row r="12" spans="1:14" ht="15.75" customHeight="1">
      <c r="A12" s="82" t="s">
        <v>49</v>
      </c>
      <c r="B12" s="129">
        <f>_xlfn.COMPOUNDVALUE(273)</f>
        <v>2726</v>
      </c>
      <c r="C12" s="130">
        <v>7069640</v>
      </c>
      <c r="D12" s="129">
        <f>_xlfn.COMPOUNDVALUE(274)</f>
        <v>1405</v>
      </c>
      <c r="E12" s="130">
        <v>542619</v>
      </c>
      <c r="F12" s="129">
        <f>_xlfn.COMPOUNDVALUE(275)</f>
        <v>4131</v>
      </c>
      <c r="G12" s="130">
        <v>7612259</v>
      </c>
      <c r="H12" s="129">
        <f>_xlfn.COMPOUNDVALUE(276)</f>
        <v>202</v>
      </c>
      <c r="I12" s="131">
        <v>450860</v>
      </c>
      <c r="J12" s="129">
        <v>256</v>
      </c>
      <c r="K12" s="131">
        <v>42884</v>
      </c>
      <c r="L12" s="129">
        <f>_xlfn.COMPOUNDVALUE(276)</f>
        <v>4375</v>
      </c>
      <c r="M12" s="131">
        <v>7204282</v>
      </c>
      <c r="N12" s="83" t="s">
        <v>49</v>
      </c>
    </row>
    <row r="13" spans="1:14" ht="15.75" customHeight="1">
      <c r="A13" s="82" t="s">
        <v>50</v>
      </c>
      <c r="B13" s="129">
        <f>_xlfn.COMPOUNDVALUE(277)</f>
        <v>2366</v>
      </c>
      <c r="C13" s="130">
        <v>10742035</v>
      </c>
      <c r="D13" s="129">
        <f>_xlfn.COMPOUNDVALUE(278)</f>
        <v>1007</v>
      </c>
      <c r="E13" s="130">
        <v>382699</v>
      </c>
      <c r="F13" s="129">
        <f>_xlfn.COMPOUNDVALUE(279)</f>
        <v>3373</v>
      </c>
      <c r="G13" s="130">
        <v>11124734</v>
      </c>
      <c r="H13" s="129">
        <f>_xlfn.COMPOUNDVALUE(280)</f>
        <v>122</v>
      </c>
      <c r="I13" s="131">
        <v>1824161</v>
      </c>
      <c r="J13" s="129">
        <v>158</v>
      </c>
      <c r="K13" s="131">
        <v>63308</v>
      </c>
      <c r="L13" s="129">
        <f>_xlfn.COMPOUNDVALUE(280)</f>
        <v>3515</v>
      </c>
      <c r="M13" s="131">
        <v>9363881</v>
      </c>
      <c r="N13" s="83" t="s">
        <v>50</v>
      </c>
    </row>
    <row r="14" spans="1:14" ht="15.75" customHeight="1">
      <c r="A14" s="82" t="s">
        <v>51</v>
      </c>
      <c r="B14" s="129">
        <f>_xlfn.COMPOUNDVALUE(281)</f>
        <v>2438</v>
      </c>
      <c r="C14" s="130">
        <v>9221691</v>
      </c>
      <c r="D14" s="129">
        <f>_xlfn.COMPOUNDVALUE(282)</f>
        <v>859</v>
      </c>
      <c r="E14" s="130">
        <v>361590</v>
      </c>
      <c r="F14" s="129">
        <f>_xlfn.COMPOUNDVALUE(283)</f>
        <v>3297</v>
      </c>
      <c r="G14" s="130">
        <v>9583281</v>
      </c>
      <c r="H14" s="129">
        <f>_xlfn.COMPOUNDVALUE(284)</f>
        <v>148</v>
      </c>
      <c r="I14" s="131">
        <v>1587105</v>
      </c>
      <c r="J14" s="129">
        <v>164</v>
      </c>
      <c r="K14" s="131">
        <v>51423</v>
      </c>
      <c r="L14" s="129">
        <f>_xlfn.COMPOUNDVALUE(284)</f>
        <v>3482</v>
      </c>
      <c r="M14" s="131">
        <v>8047599</v>
      </c>
      <c r="N14" s="83" t="s">
        <v>51</v>
      </c>
    </row>
    <row r="15" spans="1:14" ht="15.75" customHeight="1">
      <c r="A15" s="84" t="s">
        <v>157</v>
      </c>
      <c r="B15" s="132">
        <v>23622</v>
      </c>
      <c r="C15" s="133">
        <v>102935111</v>
      </c>
      <c r="D15" s="132">
        <v>10564</v>
      </c>
      <c r="E15" s="133">
        <v>4082928</v>
      </c>
      <c r="F15" s="132">
        <v>34186</v>
      </c>
      <c r="G15" s="133">
        <v>107018039</v>
      </c>
      <c r="H15" s="132">
        <v>1445</v>
      </c>
      <c r="I15" s="134">
        <v>7867422</v>
      </c>
      <c r="J15" s="132">
        <v>2171</v>
      </c>
      <c r="K15" s="134">
        <v>321994</v>
      </c>
      <c r="L15" s="132">
        <v>35936</v>
      </c>
      <c r="M15" s="134">
        <v>99472611</v>
      </c>
      <c r="N15" s="85" t="s">
        <v>53</v>
      </c>
    </row>
    <row r="16" spans="1:14" ht="15.75" customHeight="1">
      <c r="A16" s="86"/>
      <c r="B16" s="135"/>
      <c r="C16" s="136"/>
      <c r="D16" s="135"/>
      <c r="E16" s="136"/>
      <c r="F16" s="137"/>
      <c r="G16" s="136"/>
      <c r="H16" s="137"/>
      <c r="I16" s="136"/>
      <c r="J16" s="137"/>
      <c r="K16" s="136"/>
      <c r="L16" s="137"/>
      <c r="M16" s="136"/>
      <c r="N16" s="87"/>
    </row>
    <row r="17" spans="1:14" ht="15.75" customHeight="1">
      <c r="A17" s="79" t="s">
        <v>54</v>
      </c>
      <c r="B17" s="126">
        <f>_xlfn.COMPOUNDVALUE(285)</f>
        <v>5655</v>
      </c>
      <c r="C17" s="127">
        <v>27974937</v>
      </c>
      <c r="D17" s="126">
        <f>_xlfn.COMPOUNDVALUE(286)</f>
        <v>2885</v>
      </c>
      <c r="E17" s="127">
        <v>1052340</v>
      </c>
      <c r="F17" s="126">
        <f>_xlfn.COMPOUNDVALUE(287)</f>
        <v>8540</v>
      </c>
      <c r="G17" s="127">
        <v>29027277</v>
      </c>
      <c r="H17" s="126">
        <f>_xlfn.COMPOUNDVALUE(288)</f>
        <v>244</v>
      </c>
      <c r="I17" s="128">
        <v>979745</v>
      </c>
      <c r="J17" s="126">
        <v>529</v>
      </c>
      <c r="K17" s="128">
        <v>50237</v>
      </c>
      <c r="L17" s="126">
        <f>_xlfn.COMPOUNDVALUE(288)</f>
        <v>8857</v>
      </c>
      <c r="M17" s="128">
        <v>28097769</v>
      </c>
      <c r="N17" s="88" t="s">
        <v>54</v>
      </c>
    </row>
    <row r="18" spans="1:14" ht="15.75" customHeight="1">
      <c r="A18" s="82" t="s">
        <v>55</v>
      </c>
      <c r="B18" s="129">
        <f>_xlfn.COMPOUNDVALUE(289)</f>
        <v>1663</v>
      </c>
      <c r="C18" s="130">
        <v>6082177</v>
      </c>
      <c r="D18" s="129">
        <f>_xlfn.COMPOUNDVALUE(290)</f>
        <v>947</v>
      </c>
      <c r="E18" s="130">
        <v>309674</v>
      </c>
      <c r="F18" s="129">
        <f>_xlfn.COMPOUNDVALUE(291)</f>
        <v>2610</v>
      </c>
      <c r="G18" s="130">
        <v>6391851</v>
      </c>
      <c r="H18" s="129">
        <f>_xlfn.COMPOUNDVALUE(292)</f>
        <v>86</v>
      </c>
      <c r="I18" s="131">
        <v>82047</v>
      </c>
      <c r="J18" s="129">
        <v>159</v>
      </c>
      <c r="K18" s="131">
        <v>10384</v>
      </c>
      <c r="L18" s="129">
        <f>_xlfn.COMPOUNDVALUE(292)</f>
        <v>2713</v>
      </c>
      <c r="M18" s="131">
        <v>6320188</v>
      </c>
      <c r="N18" s="83" t="s">
        <v>55</v>
      </c>
    </row>
    <row r="19" spans="1:14" ht="15.75" customHeight="1">
      <c r="A19" s="82" t="s">
        <v>56</v>
      </c>
      <c r="B19" s="129">
        <f>_xlfn.COMPOUNDVALUE(293)</f>
        <v>3689</v>
      </c>
      <c r="C19" s="130">
        <v>14192906</v>
      </c>
      <c r="D19" s="129">
        <f>_xlfn.COMPOUNDVALUE(294)</f>
        <v>2026</v>
      </c>
      <c r="E19" s="130">
        <v>756478</v>
      </c>
      <c r="F19" s="129">
        <f>_xlfn.COMPOUNDVALUE(295)</f>
        <v>5715</v>
      </c>
      <c r="G19" s="130">
        <v>14949384</v>
      </c>
      <c r="H19" s="129">
        <f>_xlfn.COMPOUNDVALUE(296)</f>
        <v>226</v>
      </c>
      <c r="I19" s="131">
        <v>1005412</v>
      </c>
      <c r="J19" s="129">
        <v>399</v>
      </c>
      <c r="K19" s="131">
        <v>45976</v>
      </c>
      <c r="L19" s="129">
        <f>_xlfn.COMPOUNDVALUE(296)</f>
        <v>5998</v>
      </c>
      <c r="M19" s="131">
        <v>13989948</v>
      </c>
      <c r="N19" s="83" t="s">
        <v>56</v>
      </c>
    </row>
    <row r="20" spans="1:14" ht="15.75" customHeight="1">
      <c r="A20" s="82" t="s">
        <v>57</v>
      </c>
      <c r="B20" s="129">
        <f>_xlfn.COMPOUNDVALUE(297)</f>
        <v>1164</v>
      </c>
      <c r="C20" s="130">
        <v>3657760</v>
      </c>
      <c r="D20" s="129">
        <f>_xlfn.COMPOUNDVALUE(298)</f>
        <v>633</v>
      </c>
      <c r="E20" s="130">
        <v>224759</v>
      </c>
      <c r="F20" s="129">
        <f>_xlfn.COMPOUNDVALUE(299)</f>
        <v>1797</v>
      </c>
      <c r="G20" s="130">
        <v>3882519</v>
      </c>
      <c r="H20" s="129">
        <f>_xlfn.COMPOUNDVALUE(300)</f>
        <v>63</v>
      </c>
      <c r="I20" s="131">
        <v>120735</v>
      </c>
      <c r="J20" s="129">
        <v>141</v>
      </c>
      <c r="K20" s="131">
        <v>9194</v>
      </c>
      <c r="L20" s="129">
        <f>_xlfn.COMPOUNDVALUE(300)</f>
        <v>1869</v>
      </c>
      <c r="M20" s="131">
        <v>3770978</v>
      </c>
      <c r="N20" s="83" t="s">
        <v>57</v>
      </c>
    </row>
    <row r="21" spans="1:14" ht="15.75" customHeight="1">
      <c r="A21" s="82" t="s">
        <v>58</v>
      </c>
      <c r="B21" s="129">
        <f>_xlfn.COMPOUNDVALUE(301)</f>
        <v>2031</v>
      </c>
      <c r="C21" s="130">
        <v>5968666</v>
      </c>
      <c r="D21" s="129">
        <f>_xlfn.COMPOUNDVALUE(302)</f>
        <v>1159</v>
      </c>
      <c r="E21" s="130">
        <v>394088</v>
      </c>
      <c r="F21" s="129">
        <f>_xlfn.COMPOUNDVALUE(303)</f>
        <v>3190</v>
      </c>
      <c r="G21" s="130">
        <v>6362754</v>
      </c>
      <c r="H21" s="129">
        <f>_xlfn.COMPOUNDVALUE(304)</f>
        <v>97</v>
      </c>
      <c r="I21" s="131">
        <v>257445</v>
      </c>
      <c r="J21" s="129">
        <v>301</v>
      </c>
      <c r="K21" s="131">
        <v>13026</v>
      </c>
      <c r="L21" s="129">
        <f>_xlfn.COMPOUNDVALUE(304)</f>
        <v>3306</v>
      </c>
      <c r="M21" s="131">
        <v>6118335</v>
      </c>
      <c r="N21" s="83" t="s">
        <v>58</v>
      </c>
    </row>
    <row r="22" spans="1:14" ht="15.75" customHeight="1">
      <c r="A22" s="82" t="s">
        <v>59</v>
      </c>
      <c r="B22" s="129">
        <f>_xlfn.COMPOUNDVALUE(305)</f>
        <v>1140</v>
      </c>
      <c r="C22" s="130">
        <v>6391501</v>
      </c>
      <c r="D22" s="129">
        <f>_xlfn.COMPOUNDVALUE(306)</f>
        <v>634</v>
      </c>
      <c r="E22" s="130">
        <v>220202</v>
      </c>
      <c r="F22" s="129">
        <f>_xlfn.COMPOUNDVALUE(307)</f>
        <v>1774</v>
      </c>
      <c r="G22" s="130">
        <v>6611703</v>
      </c>
      <c r="H22" s="129">
        <f>_xlfn.COMPOUNDVALUE(308)</f>
        <v>50</v>
      </c>
      <c r="I22" s="131">
        <v>239193</v>
      </c>
      <c r="J22" s="129">
        <v>116</v>
      </c>
      <c r="K22" s="131">
        <v>-1187</v>
      </c>
      <c r="L22" s="129">
        <f>_xlfn.COMPOUNDVALUE(308)</f>
        <v>1839</v>
      </c>
      <c r="M22" s="131">
        <v>6371322</v>
      </c>
      <c r="N22" s="83" t="s">
        <v>59</v>
      </c>
    </row>
    <row r="23" spans="1:14" ht="15.75" customHeight="1">
      <c r="A23" s="82" t="s">
        <v>60</v>
      </c>
      <c r="B23" s="129">
        <f>_xlfn.COMPOUNDVALUE(309)</f>
        <v>1915</v>
      </c>
      <c r="C23" s="130">
        <v>5518215</v>
      </c>
      <c r="D23" s="129">
        <f>_xlfn.COMPOUNDVALUE(310)</f>
        <v>970</v>
      </c>
      <c r="E23" s="130">
        <v>361397</v>
      </c>
      <c r="F23" s="129">
        <f>_xlfn.COMPOUNDVALUE(311)</f>
        <v>2885</v>
      </c>
      <c r="G23" s="130">
        <v>5879612</v>
      </c>
      <c r="H23" s="129">
        <f>_xlfn.COMPOUNDVALUE(312)</f>
        <v>120</v>
      </c>
      <c r="I23" s="131">
        <v>1352204</v>
      </c>
      <c r="J23" s="129">
        <v>129</v>
      </c>
      <c r="K23" s="131">
        <v>31684</v>
      </c>
      <c r="L23" s="129">
        <f>_xlfn.COMPOUNDVALUE(312)</f>
        <v>3014</v>
      </c>
      <c r="M23" s="131">
        <v>4559091</v>
      </c>
      <c r="N23" s="83" t="s">
        <v>60</v>
      </c>
    </row>
    <row r="24" spans="1:14" ht="15.75" customHeight="1">
      <c r="A24" s="82" t="s">
        <v>61</v>
      </c>
      <c r="B24" s="129">
        <f>_xlfn.COMPOUNDVALUE(313)</f>
        <v>1218</v>
      </c>
      <c r="C24" s="130">
        <v>3098557</v>
      </c>
      <c r="D24" s="129">
        <f>_xlfn.COMPOUNDVALUE(314)</f>
        <v>684</v>
      </c>
      <c r="E24" s="130">
        <v>251230</v>
      </c>
      <c r="F24" s="129">
        <f>_xlfn.COMPOUNDVALUE(315)</f>
        <v>1902</v>
      </c>
      <c r="G24" s="130">
        <v>3349787</v>
      </c>
      <c r="H24" s="129">
        <f>_xlfn.COMPOUNDVALUE(316)</f>
        <v>66</v>
      </c>
      <c r="I24" s="131">
        <v>199261</v>
      </c>
      <c r="J24" s="129">
        <v>125</v>
      </c>
      <c r="K24" s="131">
        <v>11491</v>
      </c>
      <c r="L24" s="129">
        <f>_xlfn.COMPOUNDVALUE(316)</f>
        <v>1981</v>
      </c>
      <c r="M24" s="131">
        <v>3162016</v>
      </c>
      <c r="N24" s="83" t="s">
        <v>61</v>
      </c>
    </row>
    <row r="25" spans="1:14" ht="15.75" customHeight="1">
      <c r="A25" s="84" t="s">
        <v>158</v>
      </c>
      <c r="B25" s="132">
        <v>18475</v>
      </c>
      <c r="C25" s="133">
        <v>72884718</v>
      </c>
      <c r="D25" s="132">
        <v>9938</v>
      </c>
      <c r="E25" s="133">
        <v>3570169</v>
      </c>
      <c r="F25" s="132">
        <v>28413</v>
      </c>
      <c r="G25" s="133">
        <v>76454887</v>
      </c>
      <c r="H25" s="132">
        <v>952</v>
      </c>
      <c r="I25" s="134">
        <v>4236043</v>
      </c>
      <c r="J25" s="132">
        <v>1899</v>
      </c>
      <c r="K25" s="134">
        <v>170803</v>
      </c>
      <c r="L25" s="132">
        <v>29577</v>
      </c>
      <c r="M25" s="134">
        <v>72389647</v>
      </c>
      <c r="N25" s="85" t="s">
        <v>63</v>
      </c>
    </row>
    <row r="26" spans="1:14" ht="15.75" customHeight="1">
      <c r="A26" s="86"/>
      <c r="B26" s="135"/>
      <c r="C26" s="136"/>
      <c r="D26" s="135"/>
      <c r="E26" s="136"/>
      <c r="F26" s="137"/>
      <c r="G26" s="136"/>
      <c r="H26" s="137"/>
      <c r="I26" s="136"/>
      <c r="J26" s="137"/>
      <c r="K26" s="136"/>
      <c r="L26" s="137"/>
      <c r="M26" s="136"/>
      <c r="N26" s="87"/>
    </row>
    <row r="27" spans="1:14" ht="15.75" customHeight="1">
      <c r="A27" s="79" t="s">
        <v>64</v>
      </c>
      <c r="B27" s="126">
        <f>_xlfn.COMPOUNDVALUE(317)</f>
        <v>3602</v>
      </c>
      <c r="C27" s="127">
        <v>19704561</v>
      </c>
      <c r="D27" s="126">
        <f>_xlfn.COMPOUNDVALUE(318)</f>
        <v>1821</v>
      </c>
      <c r="E27" s="127">
        <v>674692</v>
      </c>
      <c r="F27" s="126">
        <f>_xlfn.COMPOUNDVALUE(319)</f>
        <v>5423</v>
      </c>
      <c r="G27" s="127">
        <v>20379253</v>
      </c>
      <c r="H27" s="126">
        <f>_xlfn.COMPOUNDVALUE(320)</f>
        <v>236</v>
      </c>
      <c r="I27" s="128">
        <v>635686</v>
      </c>
      <c r="J27" s="126">
        <v>402</v>
      </c>
      <c r="K27" s="128">
        <v>48260</v>
      </c>
      <c r="L27" s="126">
        <f>_xlfn.COMPOUNDVALUE(320)</f>
        <v>5682</v>
      </c>
      <c r="M27" s="128">
        <v>19791827</v>
      </c>
      <c r="N27" s="88" t="s">
        <v>64</v>
      </c>
    </row>
    <row r="28" spans="1:14" ht="15.75" customHeight="1">
      <c r="A28" s="79" t="s">
        <v>65</v>
      </c>
      <c r="B28" s="126">
        <f>_xlfn.COMPOUNDVALUE(321)</f>
        <v>5094</v>
      </c>
      <c r="C28" s="127">
        <v>28846638</v>
      </c>
      <c r="D28" s="126">
        <f>_xlfn.COMPOUNDVALUE(322)</f>
        <v>2670</v>
      </c>
      <c r="E28" s="127">
        <v>970260</v>
      </c>
      <c r="F28" s="126">
        <f>_xlfn.COMPOUNDVALUE(323)</f>
        <v>7764</v>
      </c>
      <c r="G28" s="127">
        <v>29816898</v>
      </c>
      <c r="H28" s="126">
        <f>_xlfn.COMPOUNDVALUE(324)</f>
        <v>278</v>
      </c>
      <c r="I28" s="128">
        <v>3072017</v>
      </c>
      <c r="J28" s="126">
        <v>360</v>
      </c>
      <c r="K28" s="128">
        <v>97287</v>
      </c>
      <c r="L28" s="126">
        <f>_xlfn.COMPOUNDVALUE(324)</f>
        <v>8081</v>
      </c>
      <c r="M28" s="128">
        <v>26842167</v>
      </c>
      <c r="N28" s="80" t="s">
        <v>65</v>
      </c>
    </row>
    <row r="29" spans="1:14" ht="15.75" customHeight="1">
      <c r="A29" s="82" t="s">
        <v>66</v>
      </c>
      <c r="B29" s="129">
        <f>_xlfn.COMPOUNDVALUE(325)</f>
        <v>1792</v>
      </c>
      <c r="C29" s="130">
        <v>5861831</v>
      </c>
      <c r="D29" s="129">
        <f>_xlfn.COMPOUNDVALUE(326)</f>
        <v>829</v>
      </c>
      <c r="E29" s="130">
        <v>275372</v>
      </c>
      <c r="F29" s="129">
        <f>_xlfn.COMPOUNDVALUE(327)</f>
        <v>2621</v>
      </c>
      <c r="G29" s="130">
        <v>6137203</v>
      </c>
      <c r="H29" s="129">
        <f>_xlfn.COMPOUNDVALUE(328)</f>
        <v>95</v>
      </c>
      <c r="I29" s="131">
        <v>1433632</v>
      </c>
      <c r="J29" s="129">
        <v>160</v>
      </c>
      <c r="K29" s="131">
        <v>50331</v>
      </c>
      <c r="L29" s="129">
        <f>_xlfn.COMPOUNDVALUE(328)</f>
        <v>2721</v>
      </c>
      <c r="M29" s="131">
        <v>4753901</v>
      </c>
      <c r="N29" s="83" t="s">
        <v>66</v>
      </c>
    </row>
    <row r="30" spans="1:14" ht="15.75" customHeight="1">
      <c r="A30" s="82" t="s">
        <v>67</v>
      </c>
      <c r="B30" s="129">
        <f>_xlfn.COMPOUNDVALUE(329)</f>
        <v>2291</v>
      </c>
      <c r="C30" s="130">
        <v>8564555</v>
      </c>
      <c r="D30" s="129">
        <f>_xlfn.COMPOUNDVALUE(330)</f>
        <v>949</v>
      </c>
      <c r="E30" s="130">
        <v>353951</v>
      </c>
      <c r="F30" s="129">
        <f>_xlfn.COMPOUNDVALUE(331)</f>
        <v>3240</v>
      </c>
      <c r="G30" s="130">
        <v>8918506</v>
      </c>
      <c r="H30" s="129">
        <f>_xlfn.COMPOUNDVALUE(332)</f>
        <v>193</v>
      </c>
      <c r="I30" s="131">
        <v>1881423</v>
      </c>
      <c r="J30" s="129">
        <v>238</v>
      </c>
      <c r="K30" s="131">
        <v>40516</v>
      </c>
      <c r="L30" s="129">
        <f>_xlfn.COMPOUNDVALUE(332)</f>
        <v>3445</v>
      </c>
      <c r="M30" s="131">
        <v>7077599</v>
      </c>
      <c r="N30" s="83" t="s">
        <v>67</v>
      </c>
    </row>
    <row r="31" spans="1:14" ht="15.75" customHeight="1">
      <c r="A31" s="82" t="s">
        <v>68</v>
      </c>
      <c r="B31" s="129">
        <f>_xlfn.COMPOUNDVALUE(333)</f>
        <v>886</v>
      </c>
      <c r="C31" s="130">
        <v>2139035</v>
      </c>
      <c r="D31" s="129">
        <f>_xlfn.COMPOUNDVALUE(334)</f>
        <v>413</v>
      </c>
      <c r="E31" s="130">
        <v>146474</v>
      </c>
      <c r="F31" s="129">
        <f>_xlfn.COMPOUNDVALUE(335)</f>
        <v>1299</v>
      </c>
      <c r="G31" s="130">
        <v>2285509</v>
      </c>
      <c r="H31" s="129">
        <f>_xlfn.COMPOUNDVALUE(336)</f>
        <v>27</v>
      </c>
      <c r="I31" s="131">
        <v>35889</v>
      </c>
      <c r="J31" s="129">
        <v>70</v>
      </c>
      <c r="K31" s="131">
        <v>9790</v>
      </c>
      <c r="L31" s="129">
        <f>_xlfn.COMPOUNDVALUE(336)</f>
        <v>1338</v>
      </c>
      <c r="M31" s="131">
        <v>2259409</v>
      </c>
      <c r="N31" s="83" t="s">
        <v>68</v>
      </c>
    </row>
    <row r="32" spans="1:14" ht="15.75" customHeight="1">
      <c r="A32" s="82" t="s">
        <v>69</v>
      </c>
      <c r="B32" s="129">
        <f>_xlfn.COMPOUNDVALUE(337)</f>
        <v>3686</v>
      </c>
      <c r="C32" s="130">
        <v>16080411</v>
      </c>
      <c r="D32" s="129">
        <f>_xlfn.COMPOUNDVALUE(338)</f>
        <v>1743</v>
      </c>
      <c r="E32" s="130">
        <v>661456</v>
      </c>
      <c r="F32" s="129">
        <f>_xlfn.COMPOUNDVALUE(339)</f>
        <v>5429</v>
      </c>
      <c r="G32" s="130">
        <v>16741867</v>
      </c>
      <c r="H32" s="129">
        <f>_xlfn.COMPOUNDVALUE(340)</f>
        <v>302</v>
      </c>
      <c r="I32" s="131">
        <v>1165221</v>
      </c>
      <c r="J32" s="129">
        <v>289</v>
      </c>
      <c r="K32" s="131">
        <v>3950</v>
      </c>
      <c r="L32" s="129">
        <f>_xlfn.COMPOUNDVALUE(340)</f>
        <v>5767</v>
      </c>
      <c r="M32" s="131">
        <v>15580595</v>
      </c>
      <c r="N32" s="83" t="s">
        <v>69</v>
      </c>
    </row>
    <row r="33" spans="1:14" ht="15.75" customHeight="1">
      <c r="A33" s="82" t="s">
        <v>70</v>
      </c>
      <c r="B33" s="129">
        <f>_xlfn.COMPOUNDVALUE(341)</f>
        <v>602</v>
      </c>
      <c r="C33" s="130">
        <v>1598917</v>
      </c>
      <c r="D33" s="129">
        <f>_xlfn.COMPOUNDVALUE(342)</f>
        <v>300</v>
      </c>
      <c r="E33" s="130">
        <v>109030</v>
      </c>
      <c r="F33" s="129">
        <f>_xlfn.COMPOUNDVALUE(343)</f>
        <v>902</v>
      </c>
      <c r="G33" s="130">
        <v>1707947</v>
      </c>
      <c r="H33" s="129">
        <f>_xlfn.COMPOUNDVALUE(344)</f>
        <v>36</v>
      </c>
      <c r="I33" s="131">
        <v>46832</v>
      </c>
      <c r="J33" s="129">
        <v>48</v>
      </c>
      <c r="K33" s="131">
        <v>5290</v>
      </c>
      <c r="L33" s="129">
        <f>_xlfn.COMPOUNDVALUE(344)</f>
        <v>943</v>
      </c>
      <c r="M33" s="131">
        <v>1666404</v>
      </c>
      <c r="N33" s="83" t="s">
        <v>70</v>
      </c>
    </row>
    <row r="34" spans="1:14" ht="15.75" customHeight="1">
      <c r="A34" s="82" t="s">
        <v>71</v>
      </c>
      <c r="B34" s="129">
        <f>_xlfn.COMPOUNDVALUE(345)</f>
        <v>684</v>
      </c>
      <c r="C34" s="130">
        <v>2419935</v>
      </c>
      <c r="D34" s="129">
        <f>_xlfn.COMPOUNDVALUE(346)</f>
        <v>416</v>
      </c>
      <c r="E34" s="130">
        <v>148175</v>
      </c>
      <c r="F34" s="129">
        <f>_xlfn.COMPOUNDVALUE(347)</f>
        <v>1100</v>
      </c>
      <c r="G34" s="130">
        <v>2568110</v>
      </c>
      <c r="H34" s="129">
        <f>_xlfn.COMPOUNDVALUE(348)</f>
        <v>33</v>
      </c>
      <c r="I34" s="131">
        <v>41272</v>
      </c>
      <c r="J34" s="129">
        <v>39</v>
      </c>
      <c r="K34" s="131">
        <v>6046</v>
      </c>
      <c r="L34" s="129">
        <f>_xlfn.COMPOUNDVALUE(348)</f>
        <v>1141</v>
      </c>
      <c r="M34" s="131">
        <v>2532884</v>
      </c>
      <c r="N34" s="83" t="s">
        <v>71</v>
      </c>
    </row>
    <row r="35" spans="1:14" ht="15.75" customHeight="1">
      <c r="A35" s="82" t="s">
        <v>72</v>
      </c>
      <c r="B35" s="129">
        <f>_xlfn.COMPOUNDVALUE(349)</f>
        <v>651</v>
      </c>
      <c r="C35" s="130">
        <v>1688838</v>
      </c>
      <c r="D35" s="129">
        <f>_xlfn.COMPOUNDVALUE(350)</f>
        <v>354</v>
      </c>
      <c r="E35" s="130">
        <v>133282</v>
      </c>
      <c r="F35" s="129">
        <f>_xlfn.COMPOUNDVALUE(351)</f>
        <v>1005</v>
      </c>
      <c r="G35" s="130">
        <v>1822120</v>
      </c>
      <c r="H35" s="129">
        <f>_xlfn.COMPOUNDVALUE(352)</f>
        <v>37</v>
      </c>
      <c r="I35" s="131">
        <v>37217</v>
      </c>
      <c r="J35" s="129">
        <v>80</v>
      </c>
      <c r="K35" s="131">
        <v>10572</v>
      </c>
      <c r="L35" s="129">
        <f>_xlfn.COMPOUNDVALUE(352)</f>
        <v>1052</v>
      </c>
      <c r="M35" s="131">
        <v>1795476</v>
      </c>
      <c r="N35" s="83" t="s">
        <v>72</v>
      </c>
    </row>
    <row r="36" spans="1:14" ht="15.75" customHeight="1">
      <c r="A36" s="84" t="s">
        <v>159</v>
      </c>
      <c r="B36" s="132">
        <v>19288</v>
      </c>
      <c r="C36" s="133">
        <v>86904720</v>
      </c>
      <c r="D36" s="132">
        <v>9495</v>
      </c>
      <c r="E36" s="133">
        <v>3472692</v>
      </c>
      <c r="F36" s="132">
        <v>28783</v>
      </c>
      <c r="G36" s="133">
        <v>90377411</v>
      </c>
      <c r="H36" s="132">
        <v>1237</v>
      </c>
      <c r="I36" s="134">
        <v>8349191</v>
      </c>
      <c r="J36" s="132">
        <v>1686</v>
      </c>
      <c r="K36" s="134">
        <v>272041</v>
      </c>
      <c r="L36" s="132">
        <v>30170</v>
      </c>
      <c r="M36" s="134">
        <v>82300262</v>
      </c>
      <c r="N36" s="85" t="s">
        <v>74</v>
      </c>
    </row>
    <row r="37" spans="1:14" ht="15.75" customHeight="1">
      <c r="A37" s="86"/>
      <c r="B37" s="135"/>
      <c r="C37" s="136"/>
      <c r="D37" s="135"/>
      <c r="E37" s="136"/>
      <c r="F37" s="137"/>
      <c r="G37" s="136"/>
      <c r="H37" s="137"/>
      <c r="I37" s="136"/>
      <c r="J37" s="137"/>
      <c r="K37" s="136"/>
      <c r="L37" s="137"/>
      <c r="M37" s="136"/>
      <c r="N37" s="87"/>
    </row>
    <row r="38" spans="1:14" ht="15.75" customHeight="1">
      <c r="A38" s="79" t="s">
        <v>75</v>
      </c>
      <c r="B38" s="126">
        <f>_xlfn.COMPOUNDVALUE(353)</f>
        <v>6212</v>
      </c>
      <c r="C38" s="127">
        <v>22344913</v>
      </c>
      <c r="D38" s="126">
        <f>_xlfn.COMPOUNDVALUE(354)</f>
        <v>3303</v>
      </c>
      <c r="E38" s="127">
        <v>1196115</v>
      </c>
      <c r="F38" s="126">
        <f>_xlfn.COMPOUNDVALUE(355)</f>
        <v>9515</v>
      </c>
      <c r="G38" s="127">
        <v>23541028</v>
      </c>
      <c r="H38" s="126">
        <f>_xlfn.COMPOUNDVALUE(356)</f>
        <v>407</v>
      </c>
      <c r="I38" s="128">
        <v>2011013</v>
      </c>
      <c r="J38" s="126">
        <v>539</v>
      </c>
      <c r="K38" s="128">
        <v>52086</v>
      </c>
      <c r="L38" s="126">
        <f>_xlfn.COMPOUNDVALUE(356)</f>
        <v>9993</v>
      </c>
      <c r="M38" s="128">
        <v>21582101</v>
      </c>
      <c r="N38" s="88" t="s">
        <v>75</v>
      </c>
    </row>
    <row r="39" spans="1:14" ht="15.75" customHeight="1">
      <c r="A39" s="79" t="s">
        <v>76</v>
      </c>
      <c r="B39" s="126">
        <f>_xlfn.COMPOUNDVALUE(357)</f>
        <v>3082</v>
      </c>
      <c r="C39" s="127">
        <v>11516954</v>
      </c>
      <c r="D39" s="126">
        <f>_xlfn.COMPOUNDVALUE(358)</f>
        <v>1374</v>
      </c>
      <c r="E39" s="127">
        <v>508832</v>
      </c>
      <c r="F39" s="126">
        <f>_xlfn.COMPOUNDVALUE(359)</f>
        <v>4456</v>
      </c>
      <c r="G39" s="127">
        <v>12025786</v>
      </c>
      <c r="H39" s="126">
        <f>_xlfn.COMPOUNDVALUE(360)</f>
        <v>182</v>
      </c>
      <c r="I39" s="128">
        <v>456369</v>
      </c>
      <c r="J39" s="126">
        <v>293</v>
      </c>
      <c r="K39" s="128">
        <v>37864</v>
      </c>
      <c r="L39" s="126">
        <f>_xlfn.COMPOUNDVALUE(360)</f>
        <v>4685</v>
      </c>
      <c r="M39" s="128">
        <v>11607281</v>
      </c>
      <c r="N39" s="80" t="s">
        <v>76</v>
      </c>
    </row>
    <row r="40" spans="1:14" ht="15.75" customHeight="1">
      <c r="A40" s="79" t="s">
        <v>77</v>
      </c>
      <c r="B40" s="126">
        <f>_xlfn.COMPOUNDVALUE(361)</f>
        <v>6929</v>
      </c>
      <c r="C40" s="127">
        <v>20899124</v>
      </c>
      <c r="D40" s="126">
        <f>_xlfn.COMPOUNDVALUE(362)</f>
        <v>3665</v>
      </c>
      <c r="E40" s="127">
        <v>1315886</v>
      </c>
      <c r="F40" s="126">
        <f>_xlfn.COMPOUNDVALUE(363)</f>
        <v>10594</v>
      </c>
      <c r="G40" s="127">
        <v>22215009</v>
      </c>
      <c r="H40" s="126">
        <f>_xlfn.COMPOUNDVALUE(364)</f>
        <v>438</v>
      </c>
      <c r="I40" s="128">
        <v>796429</v>
      </c>
      <c r="J40" s="126">
        <v>544</v>
      </c>
      <c r="K40" s="128">
        <v>92692</v>
      </c>
      <c r="L40" s="126">
        <f>_xlfn.COMPOUNDVALUE(364)</f>
        <v>11124</v>
      </c>
      <c r="M40" s="128">
        <v>21511271</v>
      </c>
      <c r="N40" s="80" t="s">
        <v>77</v>
      </c>
    </row>
    <row r="41" spans="1:14" ht="15.75" customHeight="1">
      <c r="A41" s="79" t="s">
        <v>78</v>
      </c>
      <c r="B41" s="126">
        <f>_xlfn.COMPOUNDVALUE(365)</f>
        <v>3531</v>
      </c>
      <c r="C41" s="127">
        <v>12876209</v>
      </c>
      <c r="D41" s="126">
        <f>_xlfn.COMPOUNDVALUE(366)</f>
        <v>2021</v>
      </c>
      <c r="E41" s="127">
        <v>835572</v>
      </c>
      <c r="F41" s="126">
        <f>_xlfn.COMPOUNDVALUE(367)</f>
        <v>5552</v>
      </c>
      <c r="G41" s="127">
        <v>13711780</v>
      </c>
      <c r="H41" s="126">
        <f>_xlfn.COMPOUNDVALUE(368)</f>
        <v>283</v>
      </c>
      <c r="I41" s="128">
        <v>724278</v>
      </c>
      <c r="J41" s="126">
        <v>328</v>
      </c>
      <c r="K41" s="128">
        <v>-22130</v>
      </c>
      <c r="L41" s="126">
        <f>_xlfn.COMPOUNDVALUE(368)</f>
        <v>5875</v>
      </c>
      <c r="M41" s="128">
        <v>12965373</v>
      </c>
      <c r="N41" s="80" t="s">
        <v>78</v>
      </c>
    </row>
    <row r="42" spans="1:14" ht="15.75" customHeight="1">
      <c r="A42" s="79" t="s">
        <v>79</v>
      </c>
      <c r="B42" s="126">
        <f>_xlfn.COMPOUNDVALUE(369)</f>
        <v>4853</v>
      </c>
      <c r="C42" s="127">
        <v>29328554</v>
      </c>
      <c r="D42" s="126">
        <f>_xlfn.COMPOUNDVALUE(370)</f>
        <v>2558</v>
      </c>
      <c r="E42" s="127">
        <v>960439</v>
      </c>
      <c r="F42" s="126">
        <f>_xlfn.COMPOUNDVALUE(371)</f>
        <v>7411</v>
      </c>
      <c r="G42" s="127">
        <v>30288993</v>
      </c>
      <c r="H42" s="126">
        <f>_xlfn.COMPOUNDVALUE(372)</f>
        <v>358</v>
      </c>
      <c r="I42" s="128">
        <v>1562208</v>
      </c>
      <c r="J42" s="126">
        <v>480</v>
      </c>
      <c r="K42" s="128">
        <v>49518</v>
      </c>
      <c r="L42" s="126">
        <f>_xlfn.COMPOUNDVALUE(372)</f>
        <v>7831</v>
      </c>
      <c r="M42" s="128">
        <v>28776303</v>
      </c>
      <c r="N42" s="80" t="s">
        <v>79</v>
      </c>
    </row>
    <row r="43" spans="1:14" ht="15.75" customHeight="1">
      <c r="A43" s="79" t="s">
        <v>80</v>
      </c>
      <c r="B43" s="126">
        <f>_xlfn.COMPOUNDVALUE(373)</f>
        <v>4433</v>
      </c>
      <c r="C43" s="127">
        <v>28377577</v>
      </c>
      <c r="D43" s="126">
        <f>_xlfn.COMPOUNDVALUE(374)</f>
        <v>2059</v>
      </c>
      <c r="E43" s="127">
        <v>778150</v>
      </c>
      <c r="F43" s="126">
        <f>_xlfn.COMPOUNDVALUE(375)</f>
        <v>6492</v>
      </c>
      <c r="G43" s="127">
        <v>29155727</v>
      </c>
      <c r="H43" s="126">
        <f>_xlfn.COMPOUNDVALUE(376)</f>
        <v>317</v>
      </c>
      <c r="I43" s="128">
        <v>1504998</v>
      </c>
      <c r="J43" s="126">
        <v>375</v>
      </c>
      <c r="K43" s="128">
        <v>-863247</v>
      </c>
      <c r="L43" s="126">
        <f>_xlfn.COMPOUNDVALUE(376)</f>
        <v>6869</v>
      </c>
      <c r="M43" s="128">
        <v>26787481</v>
      </c>
      <c r="N43" s="80" t="s">
        <v>80</v>
      </c>
    </row>
    <row r="44" spans="1:14" ht="15.75" customHeight="1">
      <c r="A44" s="79" t="s">
        <v>81</v>
      </c>
      <c r="B44" s="126">
        <f>_xlfn.COMPOUNDVALUE(377)</f>
        <v>1984</v>
      </c>
      <c r="C44" s="127">
        <v>7131909</v>
      </c>
      <c r="D44" s="126">
        <f>_xlfn.COMPOUNDVALUE(378)</f>
        <v>881</v>
      </c>
      <c r="E44" s="127">
        <v>307372</v>
      </c>
      <c r="F44" s="126">
        <f>_xlfn.COMPOUNDVALUE(379)</f>
        <v>2865</v>
      </c>
      <c r="G44" s="127">
        <v>7439281</v>
      </c>
      <c r="H44" s="126">
        <f>_xlfn.COMPOUNDVALUE(380)</f>
        <v>155</v>
      </c>
      <c r="I44" s="128">
        <v>979263</v>
      </c>
      <c r="J44" s="126">
        <v>210</v>
      </c>
      <c r="K44" s="128">
        <v>9774</v>
      </c>
      <c r="L44" s="126">
        <f>_xlfn.COMPOUNDVALUE(380)</f>
        <v>3053</v>
      </c>
      <c r="M44" s="128">
        <v>6469792</v>
      </c>
      <c r="N44" s="80" t="s">
        <v>81</v>
      </c>
    </row>
    <row r="45" spans="1:14" ht="15.75" customHeight="1">
      <c r="A45" s="79" t="s">
        <v>82</v>
      </c>
      <c r="B45" s="126">
        <f>_xlfn.COMPOUNDVALUE(381)</f>
        <v>976</v>
      </c>
      <c r="C45" s="127">
        <v>3522493</v>
      </c>
      <c r="D45" s="126">
        <f>_xlfn.COMPOUNDVALUE(382)</f>
        <v>511</v>
      </c>
      <c r="E45" s="127">
        <v>183473</v>
      </c>
      <c r="F45" s="126">
        <f>_xlfn.COMPOUNDVALUE(383)</f>
        <v>1487</v>
      </c>
      <c r="G45" s="127">
        <v>3705966</v>
      </c>
      <c r="H45" s="126">
        <f>_xlfn.COMPOUNDVALUE(384)</f>
        <v>34</v>
      </c>
      <c r="I45" s="128">
        <v>29581</v>
      </c>
      <c r="J45" s="126">
        <v>74</v>
      </c>
      <c r="K45" s="128">
        <v>9192</v>
      </c>
      <c r="L45" s="126">
        <f>_xlfn.COMPOUNDVALUE(384)</f>
        <v>1531</v>
      </c>
      <c r="M45" s="128">
        <v>3685576</v>
      </c>
      <c r="N45" s="80" t="s">
        <v>82</v>
      </c>
    </row>
    <row r="46" spans="1:14" ht="15.75" customHeight="1">
      <c r="A46" s="82" t="s">
        <v>83</v>
      </c>
      <c r="B46" s="129">
        <f>_xlfn.COMPOUNDVALUE(385)</f>
        <v>4994</v>
      </c>
      <c r="C46" s="130">
        <v>16457821</v>
      </c>
      <c r="D46" s="129">
        <f>_xlfn.COMPOUNDVALUE(386)</f>
        <v>2815</v>
      </c>
      <c r="E46" s="130">
        <v>1023134</v>
      </c>
      <c r="F46" s="129">
        <f>_xlfn.COMPOUNDVALUE(387)</f>
        <v>7809</v>
      </c>
      <c r="G46" s="130">
        <v>17480955</v>
      </c>
      <c r="H46" s="129">
        <f>_xlfn.COMPOUNDVALUE(388)</f>
        <v>322</v>
      </c>
      <c r="I46" s="131">
        <v>1069448</v>
      </c>
      <c r="J46" s="129">
        <v>371</v>
      </c>
      <c r="K46" s="131">
        <v>61806</v>
      </c>
      <c r="L46" s="129">
        <f>_xlfn.COMPOUNDVALUE(388)</f>
        <v>8187</v>
      </c>
      <c r="M46" s="131">
        <v>16473314</v>
      </c>
      <c r="N46" s="83" t="s">
        <v>83</v>
      </c>
    </row>
    <row r="47" spans="1:14" ht="15.75" customHeight="1">
      <c r="A47" s="82" t="s">
        <v>84</v>
      </c>
      <c r="B47" s="129">
        <f>_xlfn.COMPOUNDVALUE(389)</f>
        <v>1043</v>
      </c>
      <c r="C47" s="130">
        <v>6256300</v>
      </c>
      <c r="D47" s="129">
        <f>_xlfn.COMPOUNDVALUE(390)</f>
        <v>482</v>
      </c>
      <c r="E47" s="130">
        <v>170552</v>
      </c>
      <c r="F47" s="129">
        <f>_xlfn.COMPOUNDVALUE(391)</f>
        <v>1525</v>
      </c>
      <c r="G47" s="130">
        <v>6426852</v>
      </c>
      <c r="H47" s="129">
        <f>_xlfn.COMPOUNDVALUE(392)</f>
        <v>57</v>
      </c>
      <c r="I47" s="131">
        <v>532759</v>
      </c>
      <c r="J47" s="129">
        <v>98</v>
      </c>
      <c r="K47" s="131">
        <v>42673</v>
      </c>
      <c r="L47" s="129">
        <f>_xlfn.COMPOUNDVALUE(392)</f>
        <v>1598</v>
      </c>
      <c r="M47" s="131">
        <v>5936766</v>
      </c>
      <c r="N47" s="83" t="s">
        <v>84</v>
      </c>
    </row>
    <row r="48" spans="1:14" ht="15.75" customHeight="1">
      <c r="A48" s="82" t="s">
        <v>85</v>
      </c>
      <c r="B48" s="129">
        <f>_xlfn.COMPOUNDVALUE(393)</f>
        <v>1712</v>
      </c>
      <c r="C48" s="130">
        <v>6567236</v>
      </c>
      <c r="D48" s="129">
        <f>_xlfn.COMPOUNDVALUE(394)</f>
        <v>933</v>
      </c>
      <c r="E48" s="130">
        <v>321773</v>
      </c>
      <c r="F48" s="129">
        <f>_xlfn.COMPOUNDVALUE(395)</f>
        <v>2645</v>
      </c>
      <c r="G48" s="130">
        <v>6889010</v>
      </c>
      <c r="H48" s="129">
        <f>_xlfn.COMPOUNDVALUE(396)</f>
        <v>106</v>
      </c>
      <c r="I48" s="131">
        <v>539933</v>
      </c>
      <c r="J48" s="129">
        <v>120</v>
      </c>
      <c r="K48" s="131">
        <v>31238</v>
      </c>
      <c r="L48" s="129">
        <f>_xlfn.COMPOUNDVALUE(396)</f>
        <v>2786</v>
      </c>
      <c r="M48" s="131">
        <v>6380314</v>
      </c>
      <c r="N48" s="83" t="s">
        <v>85</v>
      </c>
    </row>
    <row r="49" spans="1:14" ht="15.75" customHeight="1">
      <c r="A49" s="82" t="s">
        <v>86</v>
      </c>
      <c r="B49" s="129">
        <f>_xlfn.COMPOUNDVALUE(397)</f>
        <v>5135</v>
      </c>
      <c r="C49" s="130">
        <v>14880260</v>
      </c>
      <c r="D49" s="129">
        <f>_xlfn.COMPOUNDVALUE(398)</f>
        <v>2598</v>
      </c>
      <c r="E49" s="130">
        <v>934007</v>
      </c>
      <c r="F49" s="129">
        <f>_xlfn.COMPOUNDVALUE(399)</f>
        <v>7733</v>
      </c>
      <c r="G49" s="130">
        <v>15814267</v>
      </c>
      <c r="H49" s="129">
        <f>_xlfn.COMPOUNDVALUE(400)</f>
        <v>477</v>
      </c>
      <c r="I49" s="131">
        <v>2104513</v>
      </c>
      <c r="J49" s="129">
        <v>482</v>
      </c>
      <c r="K49" s="131">
        <v>70898</v>
      </c>
      <c r="L49" s="129">
        <f>_xlfn.COMPOUNDVALUE(400)</f>
        <v>8280</v>
      </c>
      <c r="M49" s="131">
        <v>13780652</v>
      </c>
      <c r="N49" s="83" t="s">
        <v>86</v>
      </c>
    </row>
    <row r="50" spans="1:14" ht="15.75" customHeight="1">
      <c r="A50" s="82" t="s">
        <v>87</v>
      </c>
      <c r="B50" s="129">
        <f>_xlfn.COMPOUNDVALUE(401)</f>
        <v>3329</v>
      </c>
      <c r="C50" s="130">
        <v>16125594</v>
      </c>
      <c r="D50" s="129">
        <f>_xlfn.COMPOUNDVALUE(402)</f>
        <v>1937</v>
      </c>
      <c r="E50" s="130">
        <v>715192</v>
      </c>
      <c r="F50" s="129">
        <f>_xlfn.COMPOUNDVALUE(403)</f>
        <v>5266</v>
      </c>
      <c r="G50" s="130">
        <v>16840786</v>
      </c>
      <c r="H50" s="129">
        <f>_xlfn.COMPOUNDVALUE(404)</f>
        <v>231</v>
      </c>
      <c r="I50" s="131">
        <v>386128</v>
      </c>
      <c r="J50" s="129">
        <v>318</v>
      </c>
      <c r="K50" s="131">
        <v>163037</v>
      </c>
      <c r="L50" s="129">
        <f>_xlfn.COMPOUNDVALUE(404)</f>
        <v>5538</v>
      </c>
      <c r="M50" s="131">
        <v>16617696</v>
      </c>
      <c r="N50" s="83" t="s">
        <v>87</v>
      </c>
    </row>
    <row r="51" spans="1:14" ht="15.75" customHeight="1">
      <c r="A51" s="82" t="s">
        <v>88</v>
      </c>
      <c r="B51" s="129">
        <f>_xlfn.COMPOUNDVALUE(405)</f>
        <v>6136</v>
      </c>
      <c r="C51" s="130">
        <v>18429079</v>
      </c>
      <c r="D51" s="129">
        <f>_xlfn.COMPOUNDVALUE(406)</f>
        <v>3042</v>
      </c>
      <c r="E51" s="130">
        <v>1113735</v>
      </c>
      <c r="F51" s="129">
        <f>_xlfn.COMPOUNDVALUE(407)</f>
        <v>9178</v>
      </c>
      <c r="G51" s="130">
        <v>19542814</v>
      </c>
      <c r="H51" s="129">
        <f>_xlfn.COMPOUNDVALUE(408)</f>
        <v>399</v>
      </c>
      <c r="I51" s="131">
        <v>1146599</v>
      </c>
      <c r="J51" s="129">
        <v>478</v>
      </c>
      <c r="K51" s="131">
        <v>5193</v>
      </c>
      <c r="L51" s="129">
        <f>_xlfn.COMPOUNDVALUE(408)</f>
        <v>9647</v>
      </c>
      <c r="M51" s="131">
        <v>18401408</v>
      </c>
      <c r="N51" s="83" t="s">
        <v>88</v>
      </c>
    </row>
    <row r="52" spans="1:14" ht="15.75" customHeight="1">
      <c r="A52" s="82" t="s">
        <v>89</v>
      </c>
      <c r="B52" s="129">
        <f>_xlfn.COMPOUNDVALUE(409)</f>
        <v>3471</v>
      </c>
      <c r="C52" s="130">
        <v>22578519</v>
      </c>
      <c r="D52" s="129">
        <f>_xlfn.COMPOUNDVALUE(410)</f>
        <v>1969</v>
      </c>
      <c r="E52" s="130">
        <v>719535</v>
      </c>
      <c r="F52" s="129">
        <f>_xlfn.COMPOUNDVALUE(411)</f>
        <v>5440</v>
      </c>
      <c r="G52" s="130">
        <v>23298054</v>
      </c>
      <c r="H52" s="129">
        <f>_xlfn.COMPOUNDVALUE(412)</f>
        <v>249</v>
      </c>
      <c r="I52" s="131">
        <v>1708812</v>
      </c>
      <c r="J52" s="129">
        <v>310</v>
      </c>
      <c r="K52" s="131">
        <v>29298</v>
      </c>
      <c r="L52" s="129">
        <f>_xlfn.COMPOUNDVALUE(412)</f>
        <v>5712</v>
      </c>
      <c r="M52" s="131">
        <v>21618540</v>
      </c>
      <c r="N52" s="83" t="s">
        <v>89</v>
      </c>
    </row>
    <row r="53" spans="1:14" ht="15.75" customHeight="1">
      <c r="A53" s="84" t="s">
        <v>160</v>
      </c>
      <c r="B53" s="132">
        <v>57820</v>
      </c>
      <c r="C53" s="133">
        <v>237292541</v>
      </c>
      <c r="D53" s="132">
        <v>30148</v>
      </c>
      <c r="E53" s="133">
        <v>11083766</v>
      </c>
      <c r="F53" s="132">
        <v>87968</v>
      </c>
      <c r="G53" s="133">
        <v>248376307</v>
      </c>
      <c r="H53" s="132">
        <v>4015</v>
      </c>
      <c r="I53" s="134">
        <v>15552332</v>
      </c>
      <c r="J53" s="132">
        <v>5020</v>
      </c>
      <c r="K53" s="134">
        <v>-230109</v>
      </c>
      <c r="L53" s="132">
        <v>92709</v>
      </c>
      <c r="M53" s="134">
        <v>232593866</v>
      </c>
      <c r="N53" s="85" t="s">
        <v>91</v>
      </c>
    </row>
    <row r="54" spans="1:14" ht="15.75" customHeight="1">
      <c r="A54" s="86"/>
      <c r="B54" s="135"/>
      <c r="C54" s="136"/>
      <c r="D54" s="135"/>
      <c r="E54" s="136"/>
      <c r="F54" s="137"/>
      <c r="G54" s="136"/>
      <c r="H54" s="137"/>
      <c r="I54" s="136"/>
      <c r="J54" s="137"/>
      <c r="K54" s="136"/>
      <c r="L54" s="137"/>
      <c r="M54" s="136"/>
      <c r="N54" s="87"/>
    </row>
    <row r="55" spans="1:14" ht="15.75" customHeight="1">
      <c r="A55" s="79" t="s">
        <v>92</v>
      </c>
      <c r="B55" s="126">
        <f>_xlfn.COMPOUNDVALUE(413)</f>
        <v>6393</v>
      </c>
      <c r="C55" s="127">
        <v>40358770</v>
      </c>
      <c r="D55" s="126">
        <f>_xlfn.COMPOUNDVALUE(414)</f>
        <v>2540</v>
      </c>
      <c r="E55" s="127">
        <v>976316</v>
      </c>
      <c r="F55" s="126">
        <f>_xlfn.COMPOUNDVALUE(415)</f>
        <v>8933</v>
      </c>
      <c r="G55" s="127">
        <v>41335086</v>
      </c>
      <c r="H55" s="126">
        <f>_xlfn.COMPOUNDVALUE(416)</f>
        <v>442</v>
      </c>
      <c r="I55" s="128">
        <v>1753414</v>
      </c>
      <c r="J55" s="126">
        <v>665</v>
      </c>
      <c r="K55" s="128">
        <v>105170</v>
      </c>
      <c r="L55" s="126">
        <f>_xlfn.COMPOUNDVALUE(416)</f>
        <v>9455</v>
      </c>
      <c r="M55" s="128">
        <v>39686843</v>
      </c>
      <c r="N55" s="88" t="s">
        <v>92</v>
      </c>
    </row>
    <row r="56" spans="1:14" ht="15.75" customHeight="1">
      <c r="A56" s="79" t="s">
        <v>93</v>
      </c>
      <c r="B56" s="126">
        <f>_xlfn.COMPOUNDVALUE(417)</f>
        <v>965</v>
      </c>
      <c r="C56" s="127">
        <v>2814296</v>
      </c>
      <c r="D56" s="126">
        <f>_xlfn.COMPOUNDVALUE(418)</f>
        <v>452</v>
      </c>
      <c r="E56" s="127">
        <v>168555</v>
      </c>
      <c r="F56" s="126">
        <f>_xlfn.COMPOUNDVALUE(419)</f>
        <v>1417</v>
      </c>
      <c r="G56" s="127">
        <v>2982851</v>
      </c>
      <c r="H56" s="126">
        <f>_xlfn.COMPOUNDVALUE(420)</f>
        <v>39</v>
      </c>
      <c r="I56" s="128">
        <v>83526</v>
      </c>
      <c r="J56" s="126">
        <v>125</v>
      </c>
      <c r="K56" s="128">
        <v>30657</v>
      </c>
      <c r="L56" s="126">
        <f>_xlfn.COMPOUNDVALUE(420)</f>
        <v>1461</v>
      </c>
      <c r="M56" s="128">
        <v>2929981</v>
      </c>
      <c r="N56" s="80" t="s">
        <v>93</v>
      </c>
    </row>
    <row r="57" spans="1:14" ht="15.75" customHeight="1">
      <c r="A57" s="79" t="s">
        <v>94</v>
      </c>
      <c r="B57" s="126">
        <f>_xlfn.COMPOUNDVALUE(421)</f>
        <v>1736</v>
      </c>
      <c r="C57" s="127">
        <v>6234684</v>
      </c>
      <c r="D57" s="126">
        <f>_xlfn.COMPOUNDVALUE(422)</f>
        <v>681</v>
      </c>
      <c r="E57" s="127">
        <v>252686</v>
      </c>
      <c r="F57" s="126">
        <f>_xlfn.COMPOUNDVALUE(423)</f>
        <v>2417</v>
      </c>
      <c r="G57" s="127">
        <v>6487370</v>
      </c>
      <c r="H57" s="126">
        <f>_xlfn.COMPOUNDVALUE(424)</f>
        <v>106</v>
      </c>
      <c r="I57" s="128">
        <v>411053</v>
      </c>
      <c r="J57" s="126">
        <v>94</v>
      </c>
      <c r="K57" s="128">
        <v>7526</v>
      </c>
      <c r="L57" s="126">
        <f>_xlfn.COMPOUNDVALUE(424)</f>
        <v>2528</v>
      </c>
      <c r="M57" s="128">
        <v>6083842</v>
      </c>
      <c r="N57" s="80" t="s">
        <v>94</v>
      </c>
    </row>
    <row r="58" spans="1:14" ht="15.75" customHeight="1">
      <c r="A58" s="79" t="s">
        <v>95</v>
      </c>
      <c r="B58" s="126">
        <f>_xlfn.COMPOUNDVALUE(425)</f>
        <v>2945</v>
      </c>
      <c r="C58" s="127">
        <v>12938578</v>
      </c>
      <c r="D58" s="126">
        <f>_xlfn.COMPOUNDVALUE(426)</f>
        <v>1464</v>
      </c>
      <c r="E58" s="127">
        <v>525306</v>
      </c>
      <c r="F58" s="126">
        <f>_xlfn.COMPOUNDVALUE(427)</f>
        <v>4409</v>
      </c>
      <c r="G58" s="127">
        <v>13463883</v>
      </c>
      <c r="H58" s="126">
        <f>_xlfn.COMPOUNDVALUE(428)</f>
        <v>137</v>
      </c>
      <c r="I58" s="128">
        <v>1448434</v>
      </c>
      <c r="J58" s="126">
        <v>244</v>
      </c>
      <c r="K58" s="128">
        <v>20650</v>
      </c>
      <c r="L58" s="126">
        <f>_xlfn.COMPOUNDVALUE(428)</f>
        <v>4560</v>
      </c>
      <c r="M58" s="128">
        <v>12036100</v>
      </c>
      <c r="N58" s="80" t="s">
        <v>95</v>
      </c>
    </row>
    <row r="59" spans="1:14" ht="15.75" customHeight="1">
      <c r="A59" s="79" t="s">
        <v>96</v>
      </c>
      <c r="B59" s="126">
        <f>_xlfn.COMPOUNDVALUE(429)</f>
        <v>2125</v>
      </c>
      <c r="C59" s="127">
        <v>9950702</v>
      </c>
      <c r="D59" s="126">
        <f>_xlfn.COMPOUNDVALUE(430)</f>
        <v>831</v>
      </c>
      <c r="E59" s="127">
        <v>283479</v>
      </c>
      <c r="F59" s="126">
        <f>_xlfn.COMPOUNDVALUE(431)</f>
        <v>2956</v>
      </c>
      <c r="G59" s="127">
        <v>10234181</v>
      </c>
      <c r="H59" s="126">
        <f>_xlfn.COMPOUNDVALUE(432)</f>
        <v>104</v>
      </c>
      <c r="I59" s="128">
        <v>939313</v>
      </c>
      <c r="J59" s="126">
        <v>169</v>
      </c>
      <c r="K59" s="128">
        <v>26863</v>
      </c>
      <c r="L59" s="126">
        <f>_xlfn.COMPOUNDVALUE(432)</f>
        <v>3068</v>
      </c>
      <c r="M59" s="128">
        <v>9321731</v>
      </c>
      <c r="N59" s="80" t="s">
        <v>96</v>
      </c>
    </row>
    <row r="60" spans="1:14" ht="15.75" customHeight="1">
      <c r="A60" s="79" t="s">
        <v>97</v>
      </c>
      <c r="B60" s="126">
        <f>_xlfn.COMPOUNDVALUE(433)</f>
        <v>838</v>
      </c>
      <c r="C60" s="127">
        <v>3761928</v>
      </c>
      <c r="D60" s="126">
        <f>_xlfn.COMPOUNDVALUE(434)</f>
        <v>364</v>
      </c>
      <c r="E60" s="127">
        <v>127077</v>
      </c>
      <c r="F60" s="126">
        <f>_xlfn.COMPOUNDVALUE(435)</f>
        <v>1202</v>
      </c>
      <c r="G60" s="127">
        <v>3889005</v>
      </c>
      <c r="H60" s="126">
        <f>_xlfn.COMPOUNDVALUE(436)</f>
        <v>37</v>
      </c>
      <c r="I60" s="128">
        <v>165980</v>
      </c>
      <c r="J60" s="126">
        <v>69</v>
      </c>
      <c r="K60" s="128">
        <v>9980</v>
      </c>
      <c r="L60" s="126">
        <f>_xlfn.COMPOUNDVALUE(436)</f>
        <v>1240</v>
      </c>
      <c r="M60" s="128">
        <v>3733005</v>
      </c>
      <c r="N60" s="80" t="s">
        <v>97</v>
      </c>
    </row>
    <row r="61" spans="1:14" ht="15.75" customHeight="1">
      <c r="A61" s="82" t="s">
        <v>98</v>
      </c>
      <c r="B61" s="129">
        <f>_xlfn.COMPOUNDVALUE(437)</f>
        <v>1412</v>
      </c>
      <c r="C61" s="130">
        <v>5444914</v>
      </c>
      <c r="D61" s="129">
        <f>_xlfn.COMPOUNDVALUE(438)</f>
        <v>594</v>
      </c>
      <c r="E61" s="130">
        <v>245920</v>
      </c>
      <c r="F61" s="129">
        <f>_xlfn.COMPOUNDVALUE(439)</f>
        <v>2006</v>
      </c>
      <c r="G61" s="130">
        <v>5690834</v>
      </c>
      <c r="H61" s="129">
        <f>_xlfn.COMPOUNDVALUE(440)</f>
        <v>120</v>
      </c>
      <c r="I61" s="131">
        <v>583418</v>
      </c>
      <c r="J61" s="129">
        <v>222</v>
      </c>
      <c r="K61" s="131">
        <v>93084</v>
      </c>
      <c r="L61" s="129">
        <f>_xlfn.COMPOUNDVALUE(440)</f>
        <v>2144</v>
      </c>
      <c r="M61" s="131">
        <v>5200500</v>
      </c>
      <c r="N61" s="83" t="s">
        <v>98</v>
      </c>
    </row>
    <row r="62" spans="1:14" ht="15.75" customHeight="1">
      <c r="A62" s="82" t="s">
        <v>99</v>
      </c>
      <c r="B62" s="129">
        <f>_xlfn.COMPOUNDVALUE(441)</f>
        <v>1657</v>
      </c>
      <c r="C62" s="130">
        <v>5360301</v>
      </c>
      <c r="D62" s="129">
        <f>_xlfn.COMPOUNDVALUE(442)</f>
        <v>691</v>
      </c>
      <c r="E62" s="130">
        <v>244034</v>
      </c>
      <c r="F62" s="129">
        <f>_xlfn.COMPOUNDVALUE(443)</f>
        <v>2348</v>
      </c>
      <c r="G62" s="130">
        <v>5604334</v>
      </c>
      <c r="H62" s="129">
        <f>_xlfn.COMPOUNDVALUE(444)</f>
        <v>74</v>
      </c>
      <c r="I62" s="131">
        <v>281898</v>
      </c>
      <c r="J62" s="129">
        <v>112</v>
      </c>
      <c r="K62" s="131">
        <v>36539</v>
      </c>
      <c r="L62" s="129">
        <f>_xlfn.COMPOUNDVALUE(444)</f>
        <v>2427</v>
      </c>
      <c r="M62" s="131">
        <v>5358975</v>
      </c>
      <c r="N62" s="83" t="s">
        <v>99</v>
      </c>
    </row>
    <row r="63" spans="1:14" ht="15.75" customHeight="1">
      <c r="A63" s="82" t="s">
        <v>100</v>
      </c>
      <c r="B63" s="129">
        <f>_xlfn.COMPOUNDVALUE(445)</f>
        <v>700</v>
      </c>
      <c r="C63" s="130">
        <v>2149426</v>
      </c>
      <c r="D63" s="129">
        <f>_xlfn.COMPOUNDVALUE(446)</f>
        <v>312</v>
      </c>
      <c r="E63" s="130">
        <v>120517</v>
      </c>
      <c r="F63" s="129">
        <f>_xlfn.COMPOUNDVALUE(447)</f>
        <v>1012</v>
      </c>
      <c r="G63" s="130">
        <v>2269943</v>
      </c>
      <c r="H63" s="129">
        <f>_xlfn.COMPOUNDVALUE(448)</f>
        <v>24</v>
      </c>
      <c r="I63" s="131">
        <v>29266</v>
      </c>
      <c r="J63" s="129">
        <v>96</v>
      </c>
      <c r="K63" s="131">
        <v>6495</v>
      </c>
      <c r="L63" s="129">
        <f>_xlfn.COMPOUNDVALUE(448)</f>
        <v>1042</v>
      </c>
      <c r="M63" s="131">
        <v>2247172</v>
      </c>
      <c r="N63" s="83" t="s">
        <v>100</v>
      </c>
    </row>
    <row r="64" spans="1:14" ht="15.75" customHeight="1">
      <c r="A64" s="82" t="s">
        <v>101</v>
      </c>
      <c r="B64" s="129">
        <f>_xlfn.COMPOUNDVALUE(449)</f>
        <v>594</v>
      </c>
      <c r="C64" s="130">
        <v>1589725</v>
      </c>
      <c r="D64" s="129">
        <f>_xlfn.COMPOUNDVALUE(450)</f>
        <v>245</v>
      </c>
      <c r="E64" s="130">
        <v>92977</v>
      </c>
      <c r="F64" s="129">
        <f>_xlfn.COMPOUNDVALUE(451)</f>
        <v>839</v>
      </c>
      <c r="G64" s="130">
        <v>1682702</v>
      </c>
      <c r="H64" s="129">
        <f>_xlfn.COMPOUNDVALUE(452)</f>
        <v>25</v>
      </c>
      <c r="I64" s="131">
        <v>19237</v>
      </c>
      <c r="J64" s="129">
        <v>60</v>
      </c>
      <c r="K64" s="131">
        <v>6583</v>
      </c>
      <c r="L64" s="129">
        <f>_xlfn.COMPOUNDVALUE(452)</f>
        <v>872</v>
      </c>
      <c r="M64" s="131">
        <v>1670049</v>
      </c>
      <c r="N64" s="83" t="s">
        <v>101</v>
      </c>
    </row>
    <row r="65" spans="1:14" ht="15.75" customHeight="1">
      <c r="A65" s="82" t="s">
        <v>102</v>
      </c>
      <c r="B65" s="129">
        <f>_xlfn.COMPOUNDVALUE(453)</f>
        <v>404</v>
      </c>
      <c r="C65" s="130">
        <v>1560100</v>
      </c>
      <c r="D65" s="129">
        <f>_xlfn.COMPOUNDVALUE(454)</f>
        <v>170</v>
      </c>
      <c r="E65" s="130">
        <v>60464</v>
      </c>
      <c r="F65" s="129">
        <f>_xlfn.COMPOUNDVALUE(455)</f>
        <v>574</v>
      </c>
      <c r="G65" s="130">
        <v>1620563</v>
      </c>
      <c r="H65" s="129">
        <f>_xlfn.COMPOUNDVALUE(456)</f>
        <v>17</v>
      </c>
      <c r="I65" s="131">
        <v>12771</v>
      </c>
      <c r="J65" s="129">
        <v>18</v>
      </c>
      <c r="K65" s="131">
        <v>2197</v>
      </c>
      <c r="L65" s="129">
        <f>_xlfn.COMPOUNDVALUE(456)</f>
        <v>595</v>
      </c>
      <c r="M65" s="131">
        <v>1609990</v>
      </c>
      <c r="N65" s="83" t="s">
        <v>102</v>
      </c>
    </row>
    <row r="66" spans="1:14" ht="15.75" customHeight="1">
      <c r="A66" s="82" t="s">
        <v>103</v>
      </c>
      <c r="B66" s="129">
        <f>_xlfn.COMPOUNDVALUE(457)</f>
        <v>2048</v>
      </c>
      <c r="C66" s="130">
        <v>8315307</v>
      </c>
      <c r="D66" s="129">
        <f>_xlfn.COMPOUNDVALUE(458)</f>
        <v>1024</v>
      </c>
      <c r="E66" s="130">
        <v>369058</v>
      </c>
      <c r="F66" s="129">
        <f>_xlfn.COMPOUNDVALUE(459)</f>
        <v>3072</v>
      </c>
      <c r="G66" s="130">
        <v>8684365</v>
      </c>
      <c r="H66" s="129">
        <f>_xlfn.COMPOUNDVALUE(460)</f>
        <v>118</v>
      </c>
      <c r="I66" s="131">
        <v>750101</v>
      </c>
      <c r="J66" s="129">
        <v>129</v>
      </c>
      <c r="K66" s="131">
        <v>-4708</v>
      </c>
      <c r="L66" s="129">
        <f>_xlfn.COMPOUNDVALUE(460)</f>
        <v>3205</v>
      </c>
      <c r="M66" s="131">
        <v>7929555</v>
      </c>
      <c r="N66" s="83" t="s">
        <v>103</v>
      </c>
    </row>
    <row r="67" spans="1:14" ht="15.75" customHeight="1">
      <c r="A67" s="82" t="s">
        <v>161</v>
      </c>
      <c r="B67" s="129">
        <f>_xlfn.COMPOUNDVALUE(461)</f>
        <v>530</v>
      </c>
      <c r="C67" s="130">
        <v>1412006</v>
      </c>
      <c r="D67" s="129">
        <f>_xlfn.COMPOUNDVALUE(462)</f>
        <v>199</v>
      </c>
      <c r="E67" s="130">
        <v>68161</v>
      </c>
      <c r="F67" s="129">
        <f>_xlfn.COMPOUNDVALUE(463)</f>
        <v>729</v>
      </c>
      <c r="G67" s="130">
        <v>1480167</v>
      </c>
      <c r="H67" s="129">
        <f>_xlfn.COMPOUNDVALUE(464)</f>
        <v>26</v>
      </c>
      <c r="I67" s="131">
        <v>12636</v>
      </c>
      <c r="J67" s="129">
        <v>31</v>
      </c>
      <c r="K67" s="131">
        <v>2425</v>
      </c>
      <c r="L67" s="129">
        <f>_xlfn.COMPOUNDVALUE(464)</f>
        <v>757</v>
      </c>
      <c r="M67" s="131">
        <v>1469956</v>
      </c>
      <c r="N67" s="83" t="s">
        <v>105</v>
      </c>
    </row>
    <row r="68" spans="1:14" ht="15.75" customHeight="1">
      <c r="A68" s="84" t="s">
        <v>162</v>
      </c>
      <c r="B68" s="132">
        <v>22347</v>
      </c>
      <c r="C68" s="133">
        <v>101890736</v>
      </c>
      <c r="D68" s="132">
        <v>9567</v>
      </c>
      <c r="E68" s="133">
        <v>3534548</v>
      </c>
      <c r="F68" s="132">
        <v>31914</v>
      </c>
      <c r="G68" s="133">
        <v>105425284</v>
      </c>
      <c r="H68" s="132">
        <v>1269</v>
      </c>
      <c r="I68" s="134">
        <v>6491045</v>
      </c>
      <c r="J68" s="132">
        <v>2034</v>
      </c>
      <c r="K68" s="134">
        <v>343460</v>
      </c>
      <c r="L68" s="132">
        <v>33354</v>
      </c>
      <c r="M68" s="134">
        <v>99277699</v>
      </c>
      <c r="N68" s="85" t="s">
        <v>107</v>
      </c>
    </row>
    <row r="69" spans="1:14" ht="15.75" customHeight="1">
      <c r="A69" s="86"/>
      <c r="B69" s="135"/>
      <c r="C69" s="136"/>
      <c r="D69" s="135"/>
      <c r="E69" s="136"/>
      <c r="F69" s="137"/>
      <c r="G69" s="136"/>
      <c r="H69" s="137"/>
      <c r="I69" s="136"/>
      <c r="J69" s="137"/>
      <c r="K69" s="136"/>
      <c r="L69" s="137"/>
      <c r="M69" s="136"/>
      <c r="N69" s="87"/>
    </row>
    <row r="70" spans="1:14" ht="15.75" customHeight="1">
      <c r="A70" s="79" t="s">
        <v>108</v>
      </c>
      <c r="B70" s="126">
        <f>_xlfn.COMPOUNDVALUE(465)</f>
        <v>4682</v>
      </c>
      <c r="C70" s="127">
        <v>25210428</v>
      </c>
      <c r="D70" s="126">
        <f>_xlfn.COMPOUNDVALUE(466)</f>
        <v>2264</v>
      </c>
      <c r="E70" s="127">
        <v>804485</v>
      </c>
      <c r="F70" s="126">
        <f>_xlfn.COMPOUNDVALUE(467)</f>
        <v>6946</v>
      </c>
      <c r="G70" s="127">
        <v>26014914</v>
      </c>
      <c r="H70" s="126">
        <f>_xlfn.COMPOUNDVALUE(468)</f>
        <v>214</v>
      </c>
      <c r="I70" s="128">
        <v>3723223</v>
      </c>
      <c r="J70" s="126">
        <v>382</v>
      </c>
      <c r="K70" s="128">
        <v>77850</v>
      </c>
      <c r="L70" s="126">
        <f>_xlfn.COMPOUNDVALUE(468)</f>
        <v>7206</v>
      </c>
      <c r="M70" s="128">
        <v>22369540</v>
      </c>
      <c r="N70" s="88" t="s">
        <v>108</v>
      </c>
    </row>
    <row r="71" spans="1:14" ht="15.75" customHeight="1">
      <c r="A71" s="79" t="s">
        <v>109</v>
      </c>
      <c r="B71" s="126">
        <f>_xlfn.COMPOUNDVALUE(469)</f>
        <v>3914</v>
      </c>
      <c r="C71" s="127">
        <v>16424380</v>
      </c>
      <c r="D71" s="126">
        <f>_xlfn.COMPOUNDVALUE(470)</f>
        <v>1752</v>
      </c>
      <c r="E71" s="127">
        <v>633668</v>
      </c>
      <c r="F71" s="126">
        <f>_xlfn.COMPOUNDVALUE(471)</f>
        <v>5666</v>
      </c>
      <c r="G71" s="127">
        <v>17058048</v>
      </c>
      <c r="H71" s="126">
        <f>_xlfn.COMPOUNDVALUE(472)</f>
        <v>206</v>
      </c>
      <c r="I71" s="128">
        <v>680823</v>
      </c>
      <c r="J71" s="126">
        <v>400</v>
      </c>
      <c r="K71" s="128">
        <v>148417</v>
      </c>
      <c r="L71" s="126">
        <f>_xlfn.COMPOUNDVALUE(472)</f>
        <v>5906</v>
      </c>
      <c r="M71" s="128">
        <v>16525642</v>
      </c>
      <c r="N71" s="80" t="s">
        <v>109</v>
      </c>
    </row>
    <row r="72" spans="1:14" ht="15.75" customHeight="1">
      <c r="A72" s="79" t="s">
        <v>110</v>
      </c>
      <c r="B72" s="126">
        <f>_xlfn.COMPOUNDVALUE(473)</f>
        <v>2548</v>
      </c>
      <c r="C72" s="127">
        <v>10551907</v>
      </c>
      <c r="D72" s="126">
        <f>_xlfn.COMPOUNDVALUE(474)</f>
        <v>1284</v>
      </c>
      <c r="E72" s="127">
        <v>424254</v>
      </c>
      <c r="F72" s="126">
        <f>_xlfn.COMPOUNDVALUE(475)</f>
        <v>3832</v>
      </c>
      <c r="G72" s="127">
        <v>10976161</v>
      </c>
      <c r="H72" s="126">
        <f>_xlfn.COMPOUNDVALUE(476)</f>
        <v>148</v>
      </c>
      <c r="I72" s="128">
        <v>3698452</v>
      </c>
      <c r="J72" s="126">
        <v>250</v>
      </c>
      <c r="K72" s="128">
        <v>11998</v>
      </c>
      <c r="L72" s="126">
        <f>_xlfn.COMPOUNDVALUE(476)</f>
        <v>4012</v>
      </c>
      <c r="M72" s="128">
        <v>7289708</v>
      </c>
      <c r="N72" s="80" t="s">
        <v>110</v>
      </c>
    </row>
    <row r="73" spans="1:14" ht="15.75" customHeight="1">
      <c r="A73" s="82" t="s">
        <v>111</v>
      </c>
      <c r="B73" s="129">
        <f>_xlfn.COMPOUNDVALUE(477)</f>
        <v>1712</v>
      </c>
      <c r="C73" s="130">
        <v>5981284</v>
      </c>
      <c r="D73" s="129">
        <f>_xlfn.COMPOUNDVALUE(478)</f>
        <v>787</v>
      </c>
      <c r="E73" s="130">
        <v>269346</v>
      </c>
      <c r="F73" s="129">
        <f>_xlfn.COMPOUNDVALUE(479)</f>
        <v>2499</v>
      </c>
      <c r="G73" s="130">
        <v>6250631</v>
      </c>
      <c r="H73" s="129">
        <f>_xlfn.COMPOUNDVALUE(480)</f>
        <v>81</v>
      </c>
      <c r="I73" s="131">
        <v>332515</v>
      </c>
      <c r="J73" s="129">
        <v>199</v>
      </c>
      <c r="K73" s="131">
        <v>31669</v>
      </c>
      <c r="L73" s="129">
        <f>_xlfn.COMPOUNDVALUE(480)</f>
        <v>2598</v>
      </c>
      <c r="M73" s="131">
        <v>5949785</v>
      </c>
      <c r="N73" s="83" t="s">
        <v>111</v>
      </c>
    </row>
    <row r="74" spans="1:14" ht="15.75" customHeight="1">
      <c r="A74" s="82" t="s">
        <v>112</v>
      </c>
      <c r="B74" s="129">
        <f>_xlfn.COMPOUNDVALUE(481)</f>
        <v>2358</v>
      </c>
      <c r="C74" s="130">
        <v>9211345</v>
      </c>
      <c r="D74" s="129">
        <f>_xlfn.COMPOUNDVALUE(482)</f>
        <v>1173</v>
      </c>
      <c r="E74" s="130">
        <v>396997</v>
      </c>
      <c r="F74" s="129">
        <f>_xlfn.COMPOUNDVALUE(483)</f>
        <v>3531</v>
      </c>
      <c r="G74" s="130">
        <v>9608342</v>
      </c>
      <c r="H74" s="129">
        <f>_xlfn.COMPOUNDVALUE(484)</f>
        <v>156</v>
      </c>
      <c r="I74" s="131">
        <v>1832997</v>
      </c>
      <c r="J74" s="129">
        <v>163</v>
      </c>
      <c r="K74" s="131">
        <v>30648</v>
      </c>
      <c r="L74" s="129">
        <f>_xlfn.COMPOUNDVALUE(484)</f>
        <v>3706</v>
      </c>
      <c r="M74" s="131">
        <v>7805994</v>
      </c>
      <c r="N74" s="83" t="s">
        <v>112</v>
      </c>
    </row>
    <row r="75" spans="1:14" ht="15.75" customHeight="1">
      <c r="A75" s="82" t="s">
        <v>113</v>
      </c>
      <c r="B75" s="129">
        <f>_xlfn.COMPOUNDVALUE(485)</f>
        <v>1744</v>
      </c>
      <c r="C75" s="130">
        <v>6839623</v>
      </c>
      <c r="D75" s="129">
        <f>_xlfn.COMPOUNDVALUE(486)</f>
        <v>900</v>
      </c>
      <c r="E75" s="130">
        <v>302155</v>
      </c>
      <c r="F75" s="129">
        <f>_xlfn.COMPOUNDVALUE(487)</f>
        <v>2644</v>
      </c>
      <c r="G75" s="130">
        <v>7141778</v>
      </c>
      <c r="H75" s="129">
        <f>_xlfn.COMPOUNDVALUE(488)</f>
        <v>136</v>
      </c>
      <c r="I75" s="131">
        <v>1079525</v>
      </c>
      <c r="J75" s="129">
        <v>151</v>
      </c>
      <c r="K75" s="131">
        <v>5581</v>
      </c>
      <c r="L75" s="129">
        <f>_xlfn.COMPOUNDVALUE(488)</f>
        <v>2792</v>
      </c>
      <c r="M75" s="131">
        <v>6067833</v>
      </c>
      <c r="N75" s="83" t="s">
        <v>113</v>
      </c>
    </row>
    <row r="76" spans="1:14" ht="15.75" customHeight="1">
      <c r="A76" s="82" t="s">
        <v>114</v>
      </c>
      <c r="B76" s="129">
        <f>_xlfn.COMPOUNDVALUE(489)</f>
        <v>1072</v>
      </c>
      <c r="C76" s="130">
        <v>2695809</v>
      </c>
      <c r="D76" s="129">
        <f>_xlfn.COMPOUNDVALUE(490)</f>
        <v>548</v>
      </c>
      <c r="E76" s="130">
        <v>181106</v>
      </c>
      <c r="F76" s="129">
        <f>_xlfn.COMPOUNDVALUE(491)</f>
        <v>1620</v>
      </c>
      <c r="G76" s="130">
        <v>2876914</v>
      </c>
      <c r="H76" s="129">
        <f>_xlfn.COMPOUNDVALUE(492)</f>
        <v>48</v>
      </c>
      <c r="I76" s="131">
        <v>110988</v>
      </c>
      <c r="J76" s="129">
        <v>115</v>
      </c>
      <c r="K76" s="131">
        <v>8446</v>
      </c>
      <c r="L76" s="129">
        <f>_xlfn.COMPOUNDVALUE(492)</f>
        <v>1676</v>
      </c>
      <c r="M76" s="131">
        <v>2774373</v>
      </c>
      <c r="N76" s="83" t="s">
        <v>114</v>
      </c>
    </row>
    <row r="77" spans="1:14" ht="15.75" customHeight="1">
      <c r="A77" s="82" t="s">
        <v>115</v>
      </c>
      <c r="B77" s="129">
        <f>_xlfn.COMPOUNDVALUE(493)</f>
        <v>624</v>
      </c>
      <c r="C77" s="130">
        <v>1638153</v>
      </c>
      <c r="D77" s="129">
        <f>_xlfn.COMPOUNDVALUE(494)</f>
        <v>329</v>
      </c>
      <c r="E77" s="130">
        <v>112550</v>
      </c>
      <c r="F77" s="129">
        <f>_xlfn.COMPOUNDVALUE(495)</f>
        <v>953</v>
      </c>
      <c r="G77" s="130">
        <v>1750703</v>
      </c>
      <c r="H77" s="129">
        <f>_xlfn.COMPOUNDVALUE(496)</f>
        <v>27</v>
      </c>
      <c r="I77" s="131">
        <v>16951</v>
      </c>
      <c r="J77" s="129">
        <v>66</v>
      </c>
      <c r="K77" s="131">
        <v>6785</v>
      </c>
      <c r="L77" s="129">
        <f>_xlfn.COMPOUNDVALUE(496)</f>
        <v>992</v>
      </c>
      <c r="M77" s="131">
        <v>1740537</v>
      </c>
      <c r="N77" s="83" t="s">
        <v>115</v>
      </c>
    </row>
    <row r="78" spans="1:14" ht="15.75" customHeight="1">
      <c r="A78" s="82" t="s">
        <v>116</v>
      </c>
      <c r="B78" s="129">
        <f>_xlfn.COMPOUNDVALUE(497)</f>
        <v>1960</v>
      </c>
      <c r="C78" s="130">
        <v>6716495</v>
      </c>
      <c r="D78" s="129">
        <f>_xlfn.COMPOUNDVALUE(498)</f>
        <v>921</v>
      </c>
      <c r="E78" s="130">
        <v>331022</v>
      </c>
      <c r="F78" s="129">
        <f>_xlfn.COMPOUNDVALUE(499)</f>
        <v>2881</v>
      </c>
      <c r="G78" s="130">
        <v>7047516</v>
      </c>
      <c r="H78" s="129">
        <f>_xlfn.COMPOUNDVALUE(500)</f>
        <v>133</v>
      </c>
      <c r="I78" s="131">
        <v>1793695</v>
      </c>
      <c r="J78" s="129">
        <v>171</v>
      </c>
      <c r="K78" s="131">
        <v>10667</v>
      </c>
      <c r="L78" s="129">
        <f>_xlfn.COMPOUNDVALUE(500)</f>
        <v>3030</v>
      </c>
      <c r="M78" s="131">
        <v>5264489</v>
      </c>
      <c r="N78" s="83" t="s">
        <v>116</v>
      </c>
    </row>
    <row r="79" spans="1:14" ht="15.75" customHeight="1">
      <c r="A79" s="82" t="s">
        <v>117</v>
      </c>
      <c r="B79" s="129">
        <f>_xlfn.COMPOUNDVALUE(501)</f>
        <v>322</v>
      </c>
      <c r="C79" s="130">
        <v>1009997</v>
      </c>
      <c r="D79" s="129">
        <f>_xlfn.COMPOUNDVALUE(502)</f>
        <v>153</v>
      </c>
      <c r="E79" s="130">
        <v>53334</v>
      </c>
      <c r="F79" s="129">
        <f>_xlfn.COMPOUNDVALUE(503)</f>
        <v>475</v>
      </c>
      <c r="G79" s="130">
        <v>1063331</v>
      </c>
      <c r="H79" s="129">
        <f>_xlfn.COMPOUNDVALUE(504)</f>
        <v>10</v>
      </c>
      <c r="I79" s="131">
        <v>11993</v>
      </c>
      <c r="J79" s="129">
        <v>49</v>
      </c>
      <c r="K79" s="131">
        <v>-837</v>
      </c>
      <c r="L79" s="129">
        <f>_xlfn.COMPOUNDVALUE(504)</f>
        <v>493</v>
      </c>
      <c r="M79" s="131">
        <v>1050501</v>
      </c>
      <c r="N79" s="83" t="s">
        <v>117</v>
      </c>
    </row>
    <row r="80" spans="1:14" ht="15.75" customHeight="1">
      <c r="A80" s="84" t="s">
        <v>163</v>
      </c>
      <c r="B80" s="132">
        <v>20936</v>
      </c>
      <c r="C80" s="133">
        <v>86279421</v>
      </c>
      <c r="D80" s="132">
        <v>10111</v>
      </c>
      <c r="E80" s="133">
        <v>3508916</v>
      </c>
      <c r="F80" s="132">
        <v>31047</v>
      </c>
      <c r="G80" s="133">
        <v>89788337</v>
      </c>
      <c r="H80" s="132">
        <v>1159</v>
      </c>
      <c r="I80" s="134">
        <v>13281161</v>
      </c>
      <c r="J80" s="132">
        <v>1946</v>
      </c>
      <c r="K80" s="134">
        <v>331225</v>
      </c>
      <c r="L80" s="132">
        <v>32411</v>
      </c>
      <c r="M80" s="134">
        <v>76838400</v>
      </c>
      <c r="N80" s="85" t="s">
        <v>119</v>
      </c>
    </row>
    <row r="81" spans="1:14" ht="15.75" customHeight="1" thickBot="1">
      <c r="A81" s="89"/>
      <c r="B81" s="138"/>
      <c r="C81" s="139"/>
      <c r="D81" s="138"/>
      <c r="E81" s="139"/>
      <c r="F81" s="140"/>
      <c r="G81" s="139"/>
      <c r="H81" s="140"/>
      <c r="I81" s="139"/>
      <c r="J81" s="140"/>
      <c r="K81" s="139"/>
      <c r="L81" s="140"/>
      <c r="M81" s="139"/>
      <c r="N81" s="90"/>
    </row>
    <row r="82" spans="1:14" ht="15.75" customHeight="1" thickBot="1" thickTop="1">
      <c r="A82" s="92" t="s">
        <v>164</v>
      </c>
      <c r="B82" s="141">
        <v>162488</v>
      </c>
      <c r="C82" s="142">
        <v>688187246</v>
      </c>
      <c r="D82" s="141">
        <v>79823</v>
      </c>
      <c r="E82" s="142">
        <v>29253018</v>
      </c>
      <c r="F82" s="141">
        <v>242311</v>
      </c>
      <c r="G82" s="142">
        <v>717440265</v>
      </c>
      <c r="H82" s="141">
        <v>10077</v>
      </c>
      <c r="I82" s="143">
        <v>55777195</v>
      </c>
      <c r="J82" s="141">
        <v>14756</v>
      </c>
      <c r="K82" s="143">
        <v>1209415</v>
      </c>
      <c r="L82" s="141">
        <v>254157</v>
      </c>
      <c r="M82" s="143">
        <v>662872485</v>
      </c>
      <c r="N82" s="93" t="s">
        <v>121</v>
      </c>
    </row>
    <row r="83" spans="1:14" ht="13.5">
      <c r="A83" s="191" t="s">
        <v>122</v>
      </c>
      <c r="B83" s="191"/>
      <c r="C83" s="191"/>
      <c r="D83" s="191"/>
      <c r="E83" s="191"/>
      <c r="F83" s="191"/>
      <c r="G83" s="191"/>
      <c r="H83" s="191"/>
      <c r="I83" s="191"/>
      <c r="J83" s="94"/>
      <c r="K83" s="94"/>
      <c r="L83" s="65"/>
      <c r="M83" s="65"/>
      <c r="N83" s="65"/>
    </row>
  </sheetData>
  <sheetProtection/>
  <mergeCells count="11">
    <mergeCell ref="N3:N5"/>
    <mergeCell ref="B4:C4"/>
    <mergeCell ref="D4:E4"/>
    <mergeCell ref="F4:G4"/>
    <mergeCell ref="A83:I83"/>
    <mergeCell ref="L3:M4"/>
    <mergeCell ref="A2:I2"/>
    <mergeCell ref="A3:A5"/>
    <mergeCell ref="B3:G3"/>
    <mergeCell ref="H3:I4"/>
    <mergeCell ref="J3:K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3" r:id="rId1"/>
  <headerFooter alignWithMargins="0">
    <oddFooter>&amp;R関東信越国税局
消費税
(H25)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83"/>
  <sheetViews>
    <sheetView zoomScale="85" zoomScaleNormal="85" zoomScaleSheetLayoutView="85" zoomScalePageLayoutView="0" workbookViewId="0" topLeftCell="A1">
      <selection activeCell="A1" sqref="A1"/>
    </sheetView>
  </sheetViews>
  <sheetFormatPr defaultColWidth="9.00390625" defaultRowHeight="13.5"/>
  <cols>
    <col min="1" max="1" width="10.375" style="66" customWidth="1"/>
    <col min="2" max="2" width="8.625" style="66" customWidth="1"/>
    <col min="3" max="3" width="10.625" style="66" customWidth="1"/>
    <col min="4" max="4" width="8.625" style="66" customWidth="1"/>
    <col min="5" max="5" width="10.625" style="66" customWidth="1"/>
    <col min="6" max="6" width="8.625" style="66" customWidth="1"/>
    <col min="7" max="7" width="10.625" style="66" customWidth="1"/>
    <col min="8" max="8" width="8.625" style="66" customWidth="1"/>
    <col min="9" max="9" width="10.625" style="66" customWidth="1"/>
    <col min="10" max="10" width="8.625" style="66" customWidth="1"/>
    <col min="11" max="11" width="10.625" style="66" customWidth="1"/>
    <col min="12" max="12" width="8.625" style="66" customWidth="1"/>
    <col min="13" max="13" width="10.625" style="66" customWidth="1"/>
    <col min="14" max="17" width="8.625" style="66" customWidth="1"/>
    <col min="18" max="18" width="10.375" style="66" customWidth="1"/>
    <col min="19" max="16384" width="9.00390625" style="66" customWidth="1"/>
  </cols>
  <sheetData>
    <row r="1" spans="1:16" ht="13.5">
      <c r="A1" s="64" t="s">
        <v>123</v>
      </c>
      <c r="B1" s="64"/>
      <c r="C1" s="64"/>
      <c r="D1" s="64"/>
      <c r="E1" s="64"/>
      <c r="F1" s="64"/>
      <c r="G1" s="64"/>
      <c r="H1" s="64"/>
      <c r="I1" s="64"/>
      <c r="J1" s="64"/>
      <c r="K1" s="64"/>
      <c r="L1" s="65"/>
      <c r="M1" s="65"/>
      <c r="N1" s="65"/>
      <c r="O1" s="65"/>
      <c r="P1" s="65"/>
    </row>
    <row r="2" spans="1:16" ht="14.25" thickBot="1">
      <c r="A2" s="207" t="s">
        <v>126</v>
      </c>
      <c r="B2" s="207"/>
      <c r="C2" s="207"/>
      <c r="D2" s="207"/>
      <c r="E2" s="207"/>
      <c r="F2" s="207"/>
      <c r="G2" s="207"/>
      <c r="H2" s="207"/>
      <c r="I2" s="207"/>
      <c r="J2" s="94"/>
      <c r="K2" s="94"/>
      <c r="L2" s="65"/>
      <c r="M2" s="65"/>
      <c r="N2" s="65"/>
      <c r="O2" s="65"/>
      <c r="P2" s="65"/>
    </row>
    <row r="3" spans="1:18" ht="19.5" customHeight="1">
      <c r="A3" s="197" t="s">
        <v>30</v>
      </c>
      <c r="B3" s="200" t="s">
        <v>31</v>
      </c>
      <c r="C3" s="200"/>
      <c r="D3" s="200"/>
      <c r="E3" s="200"/>
      <c r="F3" s="200"/>
      <c r="G3" s="200"/>
      <c r="H3" s="200" t="s">
        <v>13</v>
      </c>
      <c r="I3" s="200"/>
      <c r="J3" s="208" t="s">
        <v>32</v>
      </c>
      <c r="K3" s="200"/>
      <c r="L3" s="200" t="s">
        <v>33</v>
      </c>
      <c r="M3" s="200"/>
      <c r="N3" s="209" t="s">
        <v>127</v>
      </c>
      <c r="O3" s="210"/>
      <c r="P3" s="210"/>
      <c r="Q3" s="210"/>
      <c r="R3" s="202" t="s">
        <v>125</v>
      </c>
    </row>
    <row r="4" spans="1:18" ht="17.25" customHeight="1">
      <c r="A4" s="198"/>
      <c r="B4" s="205" t="s">
        <v>16</v>
      </c>
      <c r="C4" s="205"/>
      <c r="D4" s="205" t="s">
        <v>35</v>
      </c>
      <c r="E4" s="205"/>
      <c r="F4" s="205" t="s">
        <v>36</v>
      </c>
      <c r="G4" s="205"/>
      <c r="H4" s="205"/>
      <c r="I4" s="205"/>
      <c r="J4" s="205"/>
      <c r="K4" s="205"/>
      <c r="L4" s="205"/>
      <c r="M4" s="205"/>
      <c r="N4" s="211" t="s">
        <v>128</v>
      </c>
      <c r="O4" s="213" t="s">
        <v>129</v>
      </c>
      <c r="P4" s="215" t="s">
        <v>130</v>
      </c>
      <c r="Q4" s="195" t="s">
        <v>131</v>
      </c>
      <c r="R4" s="203"/>
    </row>
    <row r="5" spans="1:18" ht="28.5" customHeight="1">
      <c r="A5" s="199"/>
      <c r="B5" s="67" t="s">
        <v>132</v>
      </c>
      <c r="C5" s="69" t="s">
        <v>133</v>
      </c>
      <c r="D5" s="67" t="s">
        <v>132</v>
      </c>
      <c r="E5" s="69" t="s">
        <v>133</v>
      </c>
      <c r="F5" s="67" t="s">
        <v>132</v>
      </c>
      <c r="G5" s="69" t="s">
        <v>39</v>
      </c>
      <c r="H5" s="67" t="s">
        <v>132</v>
      </c>
      <c r="I5" s="69" t="s">
        <v>40</v>
      </c>
      <c r="J5" s="67" t="s">
        <v>132</v>
      </c>
      <c r="K5" s="69" t="s">
        <v>41</v>
      </c>
      <c r="L5" s="67" t="s">
        <v>132</v>
      </c>
      <c r="M5" s="97" t="s">
        <v>134</v>
      </c>
      <c r="N5" s="212"/>
      <c r="O5" s="214"/>
      <c r="P5" s="216"/>
      <c r="Q5" s="217"/>
      <c r="R5" s="204"/>
    </row>
    <row r="6" spans="1:18" s="96" customFormat="1" ht="10.5">
      <c r="A6" s="73"/>
      <c r="B6" s="74" t="s">
        <v>4</v>
      </c>
      <c r="C6" s="75" t="s">
        <v>5</v>
      </c>
      <c r="D6" s="74" t="s">
        <v>4</v>
      </c>
      <c r="E6" s="75" t="s">
        <v>5</v>
      </c>
      <c r="F6" s="74" t="s">
        <v>4</v>
      </c>
      <c r="G6" s="75" t="s">
        <v>5</v>
      </c>
      <c r="H6" s="74" t="s">
        <v>4</v>
      </c>
      <c r="I6" s="75" t="s">
        <v>5</v>
      </c>
      <c r="J6" s="74" t="s">
        <v>4</v>
      </c>
      <c r="K6" s="75" t="s">
        <v>5</v>
      </c>
      <c r="L6" s="74" t="s">
        <v>4</v>
      </c>
      <c r="M6" s="75" t="s">
        <v>5</v>
      </c>
      <c r="N6" s="74" t="s">
        <v>4</v>
      </c>
      <c r="O6" s="98" t="s">
        <v>4</v>
      </c>
      <c r="P6" s="98" t="s">
        <v>4</v>
      </c>
      <c r="Q6" s="99" t="s">
        <v>4</v>
      </c>
      <c r="R6" s="77"/>
    </row>
    <row r="7" spans="1:18" ht="15.75" customHeight="1">
      <c r="A7" s="79" t="s">
        <v>43</v>
      </c>
      <c r="B7" s="126">
        <f>_xlfn.COMPOUNDVALUE(505)</f>
        <v>6271</v>
      </c>
      <c r="C7" s="127">
        <v>24550691</v>
      </c>
      <c r="D7" s="126">
        <f>_xlfn.COMPOUNDVALUE(506)</f>
        <v>4654</v>
      </c>
      <c r="E7" s="127">
        <v>1479596</v>
      </c>
      <c r="F7" s="126">
        <f>_xlfn.COMPOUNDVALUE(507)</f>
        <v>10925</v>
      </c>
      <c r="G7" s="127">
        <v>26030287</v>
      </c>
      <c r="H7" s="126">
        <f>_xlfn.COMPOUNDVALUE(508)</f>
        <v>335</v>
      </c>
      <c r="I7" s="128">
        <v>1347998</v>
      </c>
      <c r="J7" s="126">
        <v>834</v>
      </c>
      <c r="K7" s="128">
        <v>136404</v>
      </c>
      <c r="L7" s="126">
        <f>_xlfn.COMPOUNDVALUE(508)</f>
        <v>11519</v>
      </c>
      <c r="M7" s="128">
        <v>24818693</v>
      </c>
      <c r="N7" s="126">
        <v>11617</v>
      </c>
      <c r="O7" s="144">
        <v>241</v>
      </c>
      <c r="P7" s="144">
        <v>33</v>
      </c>
      <c r="Q7" s="145">
        <v>11891</v>
      </c>
      <c r="R7" s="80" t="s">
        <v>43</v>
      </c>
    </row>
    <row r="8" spans="1:18" ht="15.75" customHeight="1">
      <c r="A8" s="82" t="s">
        <v>44</v>
      </c>
      <c r="B8" s="129">
        <f>_xlfn.COMPOUNDVALUE(509)</f>
        <v>2573</v>
      </c>
      <c r="C8" s="130">
        <v>12956533</v>
      </c>
      <c r="D8" s="129">
        <f>_xlfn.COMPOUNDVALUE(510)</f>
        <v>2001</v>
      </c>
      <c r="E8" s="130">
        <v>638023</v>
      </c>
      <c r="F8" s="129">
        <f>_xlfn.COMPOUNDVALUE(511)</f>
        <v>4574</v>
      </c>
      <c r="G8" s="130">
        <v>13594555</v>
      </c>
      <c r="H8" s="129">
        <f>_xlfn.COMPOUNDVALUE(512)</f>
        <v>133</v>
      </c>
      <c r="I8" s="131">
        <v>934804</v>
      </c>
      <c r="J8" s="129">
        <v>473</v>
      </c>
      <c r="K8" s="131">
        <v>30955</v>
      </c>
      <c r="L8" s="129">
        <f>_xlfn.COMPOUNDVALUE(512)</f>
        <v>4823</v>
      </c>
      <c r="M8" s="131">
        <v>12690707</v>
      </c>
      <c r="N8" s="126">
        <v>4909</v>
      </c>
      <c r="O8" s="144">
        <v>79</v>
      </c>
      <c r="P8" s="144">
        <v>8</v>
      </c>
      <c r="Q8" s="145">
        <v>4996</v>
      </c>
      <c r="R8" s="83" t="s">
        <v>44</v>
      </c>
    </row>
    <row r="9" spans="1:18" ht="15.75" customHeight="1">
      <c r="A9" s="82" t="s">
        <v>45</v>
      </c>
      <c r="B9" s="129">
        <f>_xlfn.COMPOUNDVALUE(513)</f>
        <v>5906</v>
      </c>
      <c r="C9" s="130">
        <v>21600992</v>
      </c>
      <c r="D9" s="129">
        <f>_xlfn.COMPOUNDVALUE(514)</f>
        <v>4440</v>
      </c>
      <c r="E9" s="130">
        <v>1394081</v>
      </c>
      <c r="F9" s="129">
        <f>_xlfn.COMPOUNDVALUE(515)</f>
        <v>10346</v>
      </c>
      <c r="G9" s="130">
        <v>22995072</v>
      </c>
      <c r="H9" s="129">
        <f>_xlfn.COMPOUNDVALUE(516)</f>
        <v>459</v>
      </c>
      <c r="I9" s="131">
        <v>1155081</v>
      </c>
      <c r="J9" s="129">
        <v>689</v>
      </c>
      <c r="K9" s="131">
        <v>71115</v>
      </c>
      <c r="L9" s="129">
        <f>_xlfn.COMPOUNDVALUE(516)</f>
        <v>10929</v>
      </c>
      <c r="M9" s="131">
        <v>21911107</v>
      </c>
      <c r="N9" s="126">
        <v>11134</v>
      </c>
      <c r="O9" s="144">
        <v>341</v>
      </c>
      <c r="P9" s="144">
        <v>42</v>
      </c>
      <c r="Q9" s="145">
        <v>11517</v>
      </c>
      <c r="R9" s="83" t="s">
        <v>45</v>
      </c>
    </row>
    <row r="10" spans="1:18" ht="15.75" customHeight="1">
      <c r="A10" s="82" t="s">
        <v>46</v>
      </c>
      <c r="B10" s="129">
        <f>_xlfn.COMPOUNDVALUE(517)</f>
        <v>3260</v>
      </c>
      <c r="C10" s="130">
        <v>8312604</v>
      </c>
      <c r="D10" s="129">
        <f>_xlfn.COMPOUNDVALUE(518)</f>
        <v>3059</v>
      </c>
      <c r="E10" s="130">
        <v>910500</v>
      </c>
      <c r="F10" s="129">
        <f>_xlfn.COMPOUNDVALUE(519)</f>
        <v>6319</v>
      </c>
      <c r="G10" s="130">
        <v>9223104</v>
      </c>
      <c r="H10" s="129">
        <f>_xlfn.COMPOUNDVALUE(520)</f>
        <v>210</v>
      </c>
      <c r="I10" s="131">
        <v>377385</v>
      </c>
      <c r="J10" s="129">
        <v>471</v>
      </c>
      <c r="K10" s="131">
        <v>42227</v>
      </c>
      <c r="L10" s="129">
        <f>_xlfn.COMPOUNDVALUE(520)</f>
        <v>6670</v>
      </c>
      <c r="M10" s="131">
        <v>8887946</v>
      </c>
      <c r="N10" s="126">
        <v>6814</v>
      </c>
      <c r="O10" s="144">
        <v>153</v>
      </c>
      <c r="P10" s="144">
        <v>15</v>
      </c>
      <c r="Q10" s="145">
        <v>6982</v>
      </c>
      <c r="R10" s="83" t="s">
        <v>46</v>
      </c>
    </row>
    <row r="11" spans="1:18" ht="15.75" customHeight="1">
      <c r="A11" s="82" t="s">
        <v>47</v>
      </c>
      <c r="B11" s="129">
        <f>_xlfn.COMPOUNDVALUE(521)</f>
        <v>4687</v>
      </c>
      <c r="C11" s="130">
        <v>11135865</v>
      </c>
      <c r="D11" s="129">
        <f>_xlfn.COMPOUNDVALUE(522)</f>
        <v>4318</v>
      </c>
      <c r="E11" s="130">
        <v>1304649</v>
      </c>
      <c r="F11" s="129">
        <f>_xlfn.COMPOUNDVALUE(523)</f>
        <v>9005</v>
      </c>
      <c r="G11" s="130">
        <v>12440514</v>
      </c>
      <c r="H11" s="129">
        <f>_xlfn.COMPOUNDVALUE(524)</f>
        <v>273</v>
      </c>
      <c r="I11" s="131">
        <v>388290</v>
      </c>
      <c r="J11" s="129">
        <v>601</v>
      </c>
      <c r="K11" s="131">
        <v>39658</v>
      </c>
      <c r="L11" s="129">
        <f>_xlfn.COMPOUNDVALUE(524)</f>
        <v>9454</v>
      </c>
      <c r="M11" s="131">
        <v>12091881</v>
      </c>
      <c r="N11" s="126">
        <v>9459</v>
      </c>
      <c r="O11" s="144">
        <v>199</v>
      </c>
      <c r="P11" s="144">
        <v>26</v>
      </c>
      <c r="Q11" s="145">
        <v>9684</v>
      </c>
      <c r="R11" s="83" t="s">
        <v>47</v>
      </c>
    </row>
    <row r="12" spans="1:18" ht="15.75" customHeight="1">
      <c r="A12" s="82" t="s">
        <v>48</v>
      </c>
      <c r="B12" s="129">
        <f>_xlfn.COMPOUNDVALUE(525)</f>
        <v>3957</v>
      </c>
      <c r="C12" s="130">
        <v>7860172</v>
      </c>
      <c r="D12" s="129">
        <f>_xlfn.COMPOUNDVALUE(526)</f>
        <v>3279</v>
      </c>
      <c r="E12" s="130">
        <v>1031153</v>
      </c>
      <c r="F12" s="129">
        <f>_xlfn.COMPOUNDVALUE(527)</f>
        <v>7236</v>
      </c>
      <c r="G12" s="130">
        <v>8891326</v>
      </c>
      <c r="H12" s="129">
        <f>_xlfn.COMPOUNDVALUE(528)</f>
        <v>279</v>
      </c>
      <c r="I12" s="131">
        <v>486335</v>
      </c>
      <c r="J12" s="129">
        <v>545</v>
      </c>
      <c r="K12" s="131">
        <v>94089</v>
      </c>
      <c r="L12" s="129">
        <f>_xlfn.COMPOUNDVALUE(528)</f>
        <v>7687</v>
      </c>
      <c r="M12" s="131">
        <v>8499080</v>
      </c>
      <c r="N12" s="126">
        <v>7885</v>
      </c>
      <c r="O12" s="144">
        <v>194</v>
      </c>
      <c r="P12" s="144">
        <v>17</v>
      </c>
      <c r="Q12" s="145">
        <v>8096</v>
      </c>
      <c r="R12" s="83" t="s">
        <v>49</v>
      </c>
    </row>
    <row r="13" spans="1:18" ht="15.75" customHeight="1">
      <c r="A13" s="82" t="s">
        <v>50</v>
      </c>
      <c r="B13" s="129">
        <f>_xlfn.COMPOUNDVALUE(529)</f>
        <v>3598</v>
      </c>
      <c r="C13" s="130">
        <v>11197493</v>
      </c>
      <c r="D13" s="129">
        <f>_xlfn.COMPOUNDVALUE(530)</f>
        <v>2809</v>
      </c>
      <c r="E13" s="130">
        <v>862465</v>
      </c>
      <c r="F13" s="129">
        <f>_xlfn.COMPOUNDVALUE(531)</f>
        <v>6407</v>
      </c>
      <c r="G13" s="130">
        <v>12059958</v>
      </c>
      <c r="H13" s="129">
        <f>_xlfn.COMPOUNDVALUE(532)</f>
        <v>205</v>
      </c>
      <c r="I13" s="131">
        <v>1846457</v>
      </c>
      <c r="J13" s="129">
        <v>422</v>
      </c>
      <c r="K13" s="131">
        <v>98613</v>
      </c>
      <c r="L13" s="129">
        <f>_xlfn.COMPOUNDVALUE(532)</f>
        <v>6756</v>
      </c>
      <c r="M13" s="131">
        <v>10312114</v>
      </c>
      <c r="N13" s="126">
        <v>6756</v>
      </c>
      <c r="O13" s="144">
        <v>138</v>
      </c>
      <c r="P13" s="144">
        <v>8</v>
      </c>
      <c r="Q13" s="145">
        <v>6902</v>
      </c>
      <c r="R13" s="83" t="s">
        <v>50</v>
      </c>
    </row>
    <row r="14" spans="1:18" ht="15.75" customHeight="1">
      <c r="A14" s="82" t="s">
        <v>51</v>
      </c>
      <c r="B14" s="129">
        <f>_xlfn.COMPOUNDVALUE(533)</f>
        <v>3967</v>
      </c>
      <c r="C14" s="130">
        <v>9881502</v>
      </c>
      <c r="D14" s="129">
        <f>_xlfn.COMPOUNDVALUE(534)</f>
        <v>4010</v>
      </c>
      <c r="E14" s="130">
        <v>1211351</v>
      </c>
      <c r="F14" s="129">
        <f>_xlfn.COMPOUNDVALUE(535)</f>
        <v>7977</v>
      </c>
      <c r="G14" s="130">
        <v>11092853</v>
      </c>
      <c r="H14" s="129">
        <f>_xlfn.COMPOUNDVALUE(536)</f>
        <v>264</v>
      </c>
      <c r="I14" s="131">
        <v>1641919</v>
      </c>
      <c r="J14" s="129">
        <v>386</v>
      </c>
      <c r="K14" s="131">
        <v>96147</v>
      </c>
      <c r="L14" s="129">
        <f>_xlfn.COMPOUNDVALUE(536)</f>
        <v>8375</v>
      </c>
      <c r="M14" s="131">
        <v>9547080</v>
      </c>
      <c r="N14" s="126">
        <v>8448</v>
      </c>
      <c r="O14" s="144">
        <v>158</v>
      </c>
      <c r="P14" s="144">
        <v>16</v>
      </c>
      <c r="Q14" s="145">
        <v>8622</v>
      </c>
      <c r="R14" s="83" t="s">
        <v>51</v>
      </c>
    </row>
    <row r="15" spans="1:18" ht="15.75" customHeight="1">
      <c r="A15" s="84" t="s">
        <v>135</v>
      </c>
      <c r="B15" s="132">
        <v>34219</v>
      </c>
      <c r="C15" s="133">
        <v>107495851</v>
      </c>
      <c r="D15" s="132">
        <v>28570</v>
      </c>
      <c r="E15" s="133">
        <v>8831818</v>
      </c>
      <c r="F15" s="132">
        <v>62789</v>
      </c>
      <c r="G15" s="133">
        <v>116327669</v>
      </c>
      <c r="H15" s="132">
        <v>2158</v>
      </c>
      <c r="I15" s="134">
        <v>8178269</v>
      </c>
      <c r="J15" s="132">
        <v>4421</v>
      </c>
      <c r="K15" s="134">
        <v>609207</v>
      </c>
      <c r="L15" s="132">
        <v>66213</v>
      </c>
      <c r="M15" s="134">
        <v>108758608</v>
      </c>
      <c r="N15" s="132">
        <v>67022</v>
      </c>
      <c r="O15" s="146">
        <v>1503</v>
      </c>
      <c r="P15" s="146">
        <v>165</v>
      </c>
      <c r="Q15" s="147">
        <v>68690</v>
      </c>
      <c r="R15" s="85" t="s">
        <v>53</v>
      </c>
    </row>
    <row r="16" spans="1:18" ht="15.75" customHeight="1">
      <c r="A16" s="86"/>
      <c r="B16" s="135"/>
      <c r="C16" s="136"/>
      <c r="D16" s="135"/>
      <c r="E16" s="136"/>
      <c r="F16" s="137"/>
      <c r="G16" s="136"/>
      <c r="H16" s="137"/>
      <c r="I16" s="136"/>
      <c r="J16" s="137"/>
      <c r="K16" s="136"/>
      <c r="L16" s="137"/>
      <c r="M16" s="136"/>
      <c r="N16" s="148"/>
      <c r="O16" s="149"/>
      <c r="P16" s="149"/>
      <c r="Q16" s="150"/>
      <c r="R16" s="100" t="s">
        <v>136</v>
      </c>
    </row>
    <row r="17" spans="1:18" ht="15.75" customHeight="1">
      <c r="A17" s="79" t="s">
        <v>54</v>
      </c>
      <c r="B17" s="126">
        <f>_xlfn.COMPOUNDVALUE(537)</f>
        <v>6914</v>
      </c>
      <c r="C17" s="127">
        <v>28500544</v>
      </c>
      <c r="D17" s="126">
        <f>_xlfn.COMPOUNDVALUE(538)</f>
        <v>5197</v>
      </c>
      <c r="E17" s="127">
        <v>1661415</v>
      </c>
      <c r="F17" s="126">
        <f>_xlfn.COMPOUNDVALUE(539)</f>
        <v>12111</v>
      </c>
      <c r="G17" s="127">
        <v>30161959</v>
      </c>
      <c r="H17" s="126">
        <f>_xlfn.COMPOUNDVALUE(540)</f>
        <v>336</v>
      </c>
      <c r="I17" s="128">
        <v>1024322</v>
      </c>
      <c r="J17" s="126">
        <v>778</v>
      </c>
      <c r="K17" s="128">
        <v>88143</v>
      </c>
      <c r="L17" s="126">
        <f>_xlfn.COMPOUNDVALUE(540)</f>
        <v>12650</v>
      </c>
      <c r="M17" s="128">
        <v>29225780</v>
      </c>
      <c r="N17" s="126">
        <v>12726</v>
      </c>
      <c r="O17" s="144">
        <v>299</v>
      </c>
      <c r="P17" s="144">
        <v>41</v>
      </c>
      <c r="Q17" s="145">
        <v>13066</v>
      </c>
      <c r="R17" s="83" t="s">
        <v>54</v>
      </c>
    </row>
    <row r="18" spans="1:18" ht="15.75" customHeight="1">
      <c r="A18" s="82" t="s">
        <v>55</v>
      </c>
      <c r="B18" s="129">
        <f>_xlfn.COMPOUNDVALUE(541)</f>
        <v>2136</v>
      </c>
      <c r="C18" s="130">
        <v>6253357</v>
      </c>
      <c r="D18" s="129">
        <f>_xlfn.COMPOUNDVALUE(542)</f>
        <v>1752</v>
      </c>
      <c r="E18" s="130">
        <v>510051</v>
      </c>
      <c r="F18" s="129">
        <f>_xlfn.COMPOUNDVALUE(543)</f>
        <v>3888</v>
      </c>
      <c r="G18" s="130">
        <v>6763408</v>
      </c>
      <c r="H18" s="129">
        <f>_xlfn.COMPOUNDVALUE(544)</f>
        <v>116</v>
      </c>
      <c r="I18" s="131">
        <v>90205</v>
      </c>
      <c r="J18" s="129">
        <v>281</v>
      </c>
      <c r="K18" s="131">
        <v>27197</v>
      </c>
      <c r="L18" s="129">
        <f>_xlfn.COMPOUNDVALUE(544)</f>
        <v>4074</v>
      </c>
      <c r="M18" s="131">
        <v>6700400</v>
      </c>
      <c r="N18" s="126">
        <v>4046</v>
      </c>
      <c r="O18" s="144">
        <v>73</v>
      </c>
      <c r="P18" s="144">
        <v>12</v>
      </c>
      <c r="Q18" s="145">
        <v>4131</v>
      </c>
      <c r="R18" s="83" t="s">
        <v>55</v>
      </c>
    </row>
    <row r="19" spans="1:18" ht="15.75" customHeight="1">
      <c r="A19" s="82" t="s">
        <v>56</v>
      </c>
      <c r="B19" s="129">
        <f>_xlfn.COMPOUNDVALUE(545)</f>
        <v>4973</v>
      </c>
      <c r="C19" s="130">
        <v>14675568</v>
      </c>
      <c r="D19" s="129">
        <f>_xlfn.COMPOUNDVALUE(546)</f>
        <v>4520</v>
      </c>
      <c r="E19" s="130">
        <v>1363154</v>
      </c>
      <c r="F19" s="129">
        <f>_xlfn.COMPOUNDVALUE(547)</f>
        <v>9493</v>
      </c>
      <c r="G19" s="130">
        <v>16038722</v>
      </c>
      <c r="H19" s="129">
        <f>_xlfn.COMPOUNDVALUE(548)</f>
        <v>340</v>
      </c>
      <c r="I19" s="131">
        <v>1055733</v>
      </c>
      <c r="J19" s="129">
        <v>676</v>
      </c>
      <c r="K19" s="131">
        <v>96933</v>
      </c>
      <c r="L19" s="129">
        <f>_xlfn.COMPOUNDVALUE(548)</f>
        <v>10052</v>
      </c>
      <c r="M19" s="131">
        <v>15079922</v>
      </c>
      <c r="N19" s="126">
        <v>10096</v>
      </c>
      <c r="O19" s="144">
        <v>219</v>
      </c>
      <c r="P19" s="144">
        <v>30</v>
      </c>
      <c r="Q19" s="145">
        <v>10345</v>
      </c>
      <c r="R19" s="83" t="s">
        <v>56</v>
      </c>
    </row>
    <row r="20" spans="1:18" ht="15.75" customHeight="1">
      <c r="A20" s="82" t="s">
        <v>57</v>
      </c>
      <c r="B20" s="129">
        <f>_xlfn.COMPOUNDVALUE(549)</f>
        <v>1571</v>
      </c>
      <c r="C20" s="130">
        <v>3788831</v>
      </c>
      <c r="D20" s="129">
        <f>_xlfn.COMPOUNDVALUE(550)</f>
        <v>1326</v>
      </c>
      <c r="E20" s="130">
        <v>402531</v>
      </c>
      <c r="F20" s="129">
        <f>_xlfn.COMPOUNDVALUE(551)</f>
        <v>2897</v>
      </c>
      <c r="G20" s="130">
        <v>4191362</v>
      </c>
      <c r="H20" s="129">
        <f>_xlfn.COMPOUNDVALUE(552)</f>
        <v>98</v>
      </c>
      <c r="I20" s="131">
        <v>130930</v>
      </c>
      <c r="J20" s="129">
        <v>218</v>
      </c>
      <c r="K20" s="131">
        <v>12137</v>
      </c>
      <c r="L20" s="129">
        <f>_xlfn.COMPOUNDVALUE(552)</f>
        <v>3040</v>
      </c>
      <c r="M20" s="131">
        <v>4072569</v>
      </c>
      <c r="N20" s="126">
        <v>2970</v>
      </c>
      <c r="O20" s="144">
        <v>51</v>
      </c>
      <c r="P20" s="144">
        <v>13</v>
      </c>
      <c r="Q20" s="145">
        <v>3034</v>
      </c>
      <c r="R20" s="83" t="s">
        <v>57</v>
      </c>
    </row>
    <row r="21" spans="1:18" ht="15.75" customHeight="1">
      <c r="A21" s="82" t="s">
        <v>58</v>
      </c>
      <c r="B21" s="129">
        <f>_xlfn.COMPOUNDVALUE(553)</f>
        <v>2571</v>
      </c>
      <c r="C21" s="130">
        <v>6140520</v>
      </c>
      <c r="D21" s="129">
        <f>_xlfn.COMPOUNDVALUE(554)</f>
        <v>2296</v>
      </c>
      <c r="E21" s="130">
        <v>655758</v>
      </c>
      <c r="F21" s="129">
        <f>_xlfn.COMPOUNDVALUE(555)</f>
        <v>4867</v>
      </c>
      <c r="G21" s="130">
        <v>6796278</v>
      </c>
      <c r="H21" s="129">
        <f>_xlfn.COMPOUNDVALUE(556)</f>
        <v>149</v>
      </c>
      <c r="I21" s="131">
        <v>266983</v>
      </c>
      <c r="J21" s="129">
        <v>394</v>
      </c>
      <c r="K21" s="131">
        <v>22537</v>
      </c>
      <c r="L21" s="129">
        <f>_xlfn.COMPOUNDVALUE(556)</f>
        <v>5090</v>
      </c>
      <c r="M21" s="131">
        <v>6551832</v>
      </c>
      <c r="N21" s="126">
        <v>4923</v>
      </c>
      <c r="O21" s="144">
        <v>90</v>
      </c>
      <c r="P21" s="144">
        <v>7</v>
      </c>
      <c r="Q21" s="145">
        <v>5020</v>
      </c>
      <c r="R21" s="83" t="s">
        <v>58</v>
      </c>
    </row>
    <row r="22" spans="1:18" ht="15.75" customHeight="1">
      <c r="A22" s="82" t="s">
        <v>59</v>
      </c>
      <c r="B22" s="129">
        <f>_xlfn.COMPOUNDVALUE(557)</f>
        <v>1604</v>
      </c>
      <c r="C22" s="130">
        <v>6546220</v>
      </c>
      <c r="D22" s="129">
        <f>_xlfn.COMPOUNDVALUE(558)</f>
        <v>1865</v>
      </c>
      <c r="E22" s="130">
        <v>500072</v>
      </c>
      <c r="F22" s="129">
        <f>_xlfn.COMPOUNDVALUE(559)</f>
        <v>3469</v>
      </c>
      <c r="G22" s="130">
        <v>7046293</v>
      </c>
      <c r="H22" s="129">
        <f>_xlfn.COMPOUNDVALUE(560)</f>
        <v>90</v>
      </c>
      <c r="I22" s="131">
        <v>245611</v>
      </c>
      <c r="J22" s="129">
        <v>249</v>
      </c>
      <c r="K22" s="131">
        <v>16038</v>
      </c>
      <c r="L22" s="129">
        <f>_xlfn.COMPOUNDVALUE(560)</f>
        <v>3646</v>
      </c>
      <c r="M22" s="131">
        <v>6816720</v>
      </c>
      <c r="N22" s="126">
        <v>3531</v>
      </c>
      <c r="O22" s="144">
        <v>57</v>
      </c>
      <c r="P22" s="144">
        <v>6</v>
      </c>
      <c r="Q22" s="145">
        <v>3594</v>
      </c>
      <c r="R22" s="83" t="s">
        <v>59</v>
      </c>
    </row>
    <row r="23" spans="1:18" ht="15.75" customHeight="1">
      <c r="A23" s="82" t="s">
        <v>60</v>
      </c>
      <c r="B23" s="129">
        <f>_xlfn.COMPOUNDVALUE(561)</f>
        <v>2730</v>
      </c>
      <c r="C23" s="130">
        <v>5815345</v>
      </c>
      <c r="D23" s="129">
        <f>_xlfn.COMPOUNDVALUE(562)</f>
        <v>2600</v>
      </c>
      <c r="E23" s="130">
        <v>769005</v>
      </c>
      <c r="F23" s="129">
        <f>_xlfn.COMPOUNDVALUE(563)</f>
        <v>5330</v>
      </c>
      <c r="G23" s="130">
        <v>6584349</v>
      </c>
      <c r="H23" s="129">
        <f>_xlfn.COMPOUNDVALUE(564)</f>
        <v>207</v>
      </c>
      <c r="I23" s="131">
        <v>1393394</v>
      </c>
      <c r="J23" s="129">
        <v>307</v>
      </c>
      <c r="K23" s="131">
        <v>51180</v>
      </c>
      <c r="L23" s="129">
        <f>_xlfn.COMPOUNDVALUE(564)</f>
        <v>5654</v>
      </c>
      <c r="M23" s="131">
        <v>5242135</v>
      </c>
      <c r="N23" s="126">
        <v>5673</v>
      </c>
      <c r="O23" s="144">
        <v>146</v>
      </c>
      <c r="P23" s="144">
        <v>13</v>
      </c>
      <c r="Q23" s="145">
        <v>5832</v>
      </c>
      <c r="R23" s="83" t="s">
        <v>60</v>
      </c>
    </row>
    <row r="24" spans="1:18" ht="15.75" customHeight="1">
      <c r="A24" s="82" t="s">
        <v>61</v>
      </c>
      <c r="B24" s="129">
        <f>_xlfn.COMPOUNDVALUE(565)</f>
        <v>1680</v>
      </c>
      <c r="C24" s="130">
        <v>3297916</v>
      </c>
      <c r="D24" s="129">
        <f>_xlfn.COMPOUNDVALUE(566)</f>
        <v>1761</v>
      </c>
      <c r="E24" s="130">
        <v>504404</v>
      </c>
      <c r="F24" s="129">
        <f>_xlfn.COMPOUNDVALUE(567)</f>
        <v>3441</v>
      </c>
      <c r="G24" s="130">
        <v>3802320</v>
      </c>
      <c r="H24" s="129">
        <f>_xlfn.COMPOUNDVALUE(568)</f>
        <v>118</v>
      </c>
      <c r="I24" s="131">
        <v>242703</v>
      </c>
      <c r="J24" s="129">
        <v>210</v>
      </c>
      <c r="K24" s="131">
        <v>18479</v>
      </c>
      <c r="L24" s="129">
        <f>_xlfn.COMPOUNDVALUE(568)</f>
        <v>3602</v>
      </c>
      <c r="M24" s="131">
        <v>3578096</v>
      </c>
      <c r="N24" s="126">
        <v>3654</v>
      </c>
      <c r="O24" s="144">
        <v>72</v>
      </c>
      <c r="P24" s="144">
        <v>10</v>
      </c>
      <c r="Q24" s="145">
        <v>3736</v>
      </c>
      <c r="R24" s="83" t="s">
        <v>61</v>
      </c>
    </row>
    <row r="25" spans="1:18" ht="15.75" customHeight="1">
      <c r="A25" s="84" t="s">
        <v>62</v>
      </c>
      <c r="B25" s="132">
        <v>24179</v>
      </c>
      <c r="C25" s="133">
        <v>75018300</v>
      </c>
      <c r="D25" s="132">
        <v>21317</v>
      </c>
      <c r="E25" s="133">
        <v>6366391</v>
      </c>
      <c r="F25" s="132">
        <v>45496</v>
      </c>
      <c r="G25" s="133">
        <v>81384691</v>
      </c>
      <c r="H25" s="132">
        <v>1454</v>
      </c>
      <c r="I25" s="134">
        <v>4449881</v>
      </c>
      <c r="J25" s="132">
        <v>3113</v>
      </c>
      <c r="K25" s="134">
        <v>332645</v>
      </c>
      <c r="L25" s="132">
        <v>47808</v>
      </c>
      <c r="M25" s="134">
        <v>77267455</v>
      </c>
      <c r="N25" s="132">
        <v>47619</v>
      </c>
      <c r="O25" s="146">
        <v>1007</v>
      </c>
      <c r="P25" s="146">
        <v>132</v>
      </c>
      <c r="Q25" s="147">
        <v>48758</v>
      </c>
      <c r="R25" s="85" t="s">
        <v>63</v>
      </c>
    </row>
    <row r="26" spans="1:18" ht="15.75" customHeight="1">
      <c r="A26" s="86"/>
      <c r="B26" s="135"/>
      <c r="C26" s="136"/>
      <c r="D26" s="135"/>
      <c r="E26" s="136"/>
      <c r="F26" s="137"/>
      <c r="G26" s="136"/>
      <c r="H26" s="137"/>
      <c r="I26" s="136"/>
      <c r="J26" s="137"/>
      <c r="K26" s="136"/>
      <c r="L26" s="137"/>
      <c r="M26" s="136"/>
      <c r="N26" s="148"/>
      <c r="O26" s="149"/>
      <c r="P26" s="149"/>
      <c r="Q26" s="150"/>
      <c r="R26" s="100" t="s">
        <v>136</v>
      </c>
    </row>
    <row r="27" spans="1:18" ht="15.75" customHeight="1">
      <c r="A27" s="79" t="s">
        <v>64</v>
      </c>
      <c r="B27" s="126">
        <f>_xlfn.COMPOUNDVALUE(569)</f>
        <v>4693</v>
      </c>
      <c r="C27" s="127">
        <v>20070302</v>
      </c>
      <c r="D27" s="126">
        <f>_xlfn.COMPOUNDVALUE(570)</f>
        <v>3458</v>
      </c>
      <c r="E27" s="127">
        <v>1091515</v>
      </c>
      <c r="F27" s="126">
        <f>_xlfn.COMPOUNDVALUE(571)</f>
        <v>8151</v>
      </c>
      <c r="G27" s="127">
        <v>21161816</v>
      </c>
      <c r="H27" s="126">
        <f>_xlfn.COMPOUNDVALUE(572)</f>
        <v>328</v>
      </c>
      <c r="I27" s="128">
        <v>675390</v>
      </c>
      <c r="J27" s="126">
        <v>582</v>
      </c>
      <c r="K27" s="128">
        <v>78588</v>
      </c>
      <c r="L27" s="126">
        <f>_xlfn.COMPOUNDVALUE(572)</f>
        <v>8591</v>
      </c>
      <c r="M27" s="128">
        <v>20565014</v>
      </c>
      <c r="N27" s="126">
        <v>8638</v>
      </c>
      <c r="O27" s="144">
        <v>174</v>
      </c>
      <c r="P27" s="144">
        <v>27</v>
      </c>
      <c r="Q27" s="145">
        <v>8839</v>
      </c>
      <c r="R27" s="83" t="s">
        <v>64</v>
      </c>
    </row>
    <row r="28" spans="1:18" ht="15.75" customHeight="1">
      <c r="A28" s="79" t="s">
        <v>65</v>
      </c>
      <c r="B28" s="126">
        <f>_xlfn.COMPOUNDVALUE(573)</f>
        <v>6610</v>
      </c>
      <c r="C28" s="127">
        <v>29442515</v>
      </c>
      <c r="D28" s="126">
        <f>_xlfn.COMPOUNDVALUE(574)</f>
        <v>5231</v>
      </c>
      <c r="E28" s="127">
        <v>1618826</v>
      </c>
      <c r="F28" s="126">
        <f>_xlfn.COMPOUNDVALUE(575)</f>
        <v>11841</v>
      </c>
      <c r="G28" s="127">
        <v>31061341</v>
      </c>
      <c r="H28" s="126">
        <f>_xlfn.COMPOUNDVALUE(576)</f>
        <v>399</v>
      </c>
      <c r="I28" s="128">
        <v>3105818</v>
      </c>
      <c r="J28" s="126">
        <v>642</v>
      </c>
      <c r="K28" s="128">
        <v>147220</v>
      </c>
      <c r="L28" s="126">
        <f>_xlfn.COMPOUNDVALUE(576)</f>
        <v>12436</v>
      </c>
      <c r="M28" s="128">
        <v>28102743</v>
      </c>
      <c r="N28" s="126">
        <v>12427</v>
      </c>
      <c r="O28" s="144">
        <v>227</v>
      </c>
      <c r="P28" s="144">
        <v>35</v>
      </c>
      <c r="Q28" s="145">
        <v>12689</v>
      </c>
      <c r="R28" s="83" t="s">
        <v>65</v>
      </c>
    </row>
    <row r="29" spans="1:18" ht="15.75" customHeight="1">
      <c r="A29" s="82" t="s">
        <v>66</v>
      </c>
      <c r="B29" s="129">
        <f>_xlfn.COMPOUNDVALUE(577)</f>
        <v>2463</v>
      </c>
      <c r="C29" s="130">
        <v>6088389</v>
      </c>
      <c r="D29" s="129">
        <f>_xlfn.COMPOUNDVALUE(578)</f>
        <v>2000</v>
      </c>
      <c r="E29" s="130">
        <v>559698</v>
      </c>
      <c r="F29" s="129">
        <f>_xlfn.COMPOUNDVALUE(579)</f>
        <v>4463</v>
      </c>
      <c r="G29" s="130">
        <v>6648087</v>
      </c>
      <c r="H29" s="129">
        <f>_xlfn.COMPOUNDVALUE(580)</f>
        <v>132</v>
      </c>
      <c r="I29" s="131">
        <v>1442164</v>
      </c>
      <c r="J29" s="129">
        <v>283</v>
      </c>
      <c r="K29" s="131">
        <v>66062</v>
      </c>
      <c r="L29" s="129">
        <f>_xlfn.COMPOUNDVALUE(580)</f>
        <v>4659</v>
      </c>
      <c r="M29" s="131">
        <v>5271984</v>
      </c>
      <c r="N29" s="126">
        <v>4561</v>
      </c>
      <c r="O29" s="144">
        <v>81</v>
      </c>
      <c r="P29" s="144">
        <v>7</v>
      </c>
      <c r="Q29" s="145">
        <v>4649</v>
      </c>
      <c r="R29" s="83" t="s">
        <v>66</v>
      </c>
    </row>
    <row r="30" spans="1:18" ht="15.75" customHeight="1">
      <c r="A30" s="82" t="s">
        <v>67</v>
      </c>
      <c r="B30" s="129">
        <f>_xlfn.COMPOUNDVALUE(581)</f>
        <v>3032</v>
      </c>
      <c r="C30" s="130">
        <v>8857561</v>
      </c>
      <c r="D30" s="129">
        <f>_xlfn.COMPOUNDVALUE(582)</f>
        <v>2287</v>
      </c>
      <c r="E30" s="130">
        <v>671499</v>
      </c>
      <c r="F30" s="129">
        <f>_xlfn.COMPOUNDVALUE(583)</f>
        <v>5319</v>
      </c>
      <c r="G30" s="130">
        <v>9529059</v>
      </c>
      <c r="H30" s="129">
        <f>_xlfn.COMPOUNDVALUE(584)</f>
        <v>244</v>
      </c>
      <c r="I30" s="131">
        <v>1899820</v>
      </c>
      <c r="J30" s="129">
        <v>368</v>
      </c>
      <c r="K30" s="131">
        <v>58112</v>
      </c>
      <c r="L30" s="129">
        <f>_xlfn.COMPOUNDVALUE(584)</f>
        <v>5653</v>
      </c>
      <c r="M30" s="131">
        <v>7687351</v>
      </c>
      <c r="N30" s="126">
        <v>5601</v>
      </c>
      <c r="O30" s="144">
        <v>158</v>
      </c>
      <c r="P30" s="144">
        <v>19</v>
      </c>
      <c r="Q30" s="145">
        <v>5778</v>
      </c>
      <c r="R30" s="83" t="s">
        <v>67</v>
      </c>
    </row>
    <row r="31" spans="1:18" ht="15.75" customHeight="1">
      <c r="A31" s="82" t="s">
        <v>68</v>
      </c>
      <c r="B31" s="129">
        <f>_xlfn.COMPOUNDVALUE(585)</f>
        <v>1311</v>
      </c>
      <c r="C31" s="130">
        <v>2327841</v>
      </c>
      <c r="D31" s="129">
        <f>_xlfn.COMPOUNDVALUE(586)</f>
        <v>1381</v>
      </c>
      <c r="E31" s="130">
        <v>405066</v>
      </c>
      <c r="F31" s="129">
        <f>_xlfn.COMPOUNDVALUE(587)</f>
        <v>2692</v>
      </c>
      <c r="G31" s="130">
        <v>2732907</v>
      </c>
      <c r="H31" s="129">
        <f>_xlfn.COMPOUNDVALUE(588)</f>
        <v>49</v>
      </c>
      <c r="I31" s="131">
        <v>41141</v>
      </c>
      <c r="J31" s="129">
        <v>192</v>
      </c>
      <c r="K31" s="131">
        <v>24153</v>
      </c>
      <c r="L31" s="129">
        <f>_xlfn.COMPOUNDVALUE(588)</f>
        <v>2794</v>
      </c>
      <c r="M31" s="131">
        <v>2715919</v>
      </c>
      <c r="N31" s="126">
        <v>2765</v>
      </c>
      <c r="O31" s="144">
        <v>55</v>
      </c>
      <c r="P31" s="144">
        <v>2</v>
      </c>
      <c r="Q31" s="145">
        <v>2822</v>
      </c>
      <c r="R31" s="83" t="s">
        <v>68</v>
      </c>
    </row>
    <row r="32" spans="1:18" ht="15.75" customHeight="1">
      <c r="A32" s="82" t="s">
        <v>69</v>
      </c>
      <c r="B32" s="129">
        <f>_xlfn.COMPOUNDVALUE(589)</f>
        <v>4926</v>
      </c>
      <c r="C32" s="130">
        <v>16524284</v>
      </c>
      <c r="D32" s="129">
        <f>_xlfn.COMPOUNDVALUE(590)</f>
        <v>4001</v>
      </c>
      <c r="E32" s="130">
        <v>1221642</v>
      </c>
      <c r="F32" s="129">
        <f>_xlfn.COMPOUNDVALUE(591)</f>
        <v>8927</v>
      </c>
      <c r="G32" s="130">
        <v>17745926</v>
      </c>
      <c r="H32" s="129">
        <f>_xlfn.COMPOUNDVALUE(592)</f>
        <v>396</v>
      </c>
      <c r="I32" s="131">
        <v>1201170</v>
      </c>
      <c r="J32" s="129">
        <v>563</v>
      </c>
      <c r="K32" s="131">
        <v>46121</v>
      </c>
      <c r="L32" s="129">
        <f>_xlfn.COMPOUNDVALUE(592)</f>
        <v>9505</v>
      </c>
      <c r="M32" s="131">
        <v>16590877</v>
      </c>
      <c r="N32" s="126">
        <v>9568</v>
      </c>
      <c r="O32" s="144">
        <v>267</v>
      </c>
      <c r="P32" s="144">
        <v>10</v>
      </c>
      <c r="Q32" s="145">
        <v>9845</v>
      </c>
      <c r="R32" s="83" t="s">
        <v>69</v>
      </c>
    </row>
    <row r="33" spans="1:18" ht="15.75" customHeight="1">
      <c r="A33" s="82" t="s">
        <v>70</v>
      </c>
      <c r="B33" s="129">
        <f>_xlfn.COMPOUNDVALUE(593)</f>
        <v>818</v>
      </c>
      <c r="C33" s="130">
        <v>1688310</v>
      </c>
      <c r="D33" s="129">
        <f>_xlfn.COMPOUNDVALUE(594)</f>
        <v>642</v>
      </c>
      <c r="E33" s="130">
        <v>187853</v>
      </c>
      <c r="F33" s="129">
        <f>_xlfn.COMPOUNDVALUE(595)</f>
        <v>1460</v>
      </c>
      <c r="G33" s="130">
        <v>1876163</v>
      </c>
      <c r="H33" s="129">
        <f>_xlfn.COMPOUNDVALUE(596)</f>
        <v>49</v>
      </c>
      <c r="I33" s="131">
        <v>51960</v>
      </c>
      <c r="J33" s="129">
        <v>102</v>
      </c>
      <c r="K33" s="131">
        <v>10259</v>
      </c>
      <c r="L33" s="129">
        <f>_xlfn.COMPOUNDVALUE(596)</f>
        <v>1536</v>
      </c>
      <c r="M33" s="131">
        <v>1834463</v>
      </c>
      <c r="N33" s="126">
        <v>1542</v>
      </c>
      <c r="O33" s="144">
        <v>31</v>
      </c>
      <c r="P33" s="144">
        <v>3</v>
      </c>
      <c r="Q33" s="145">
        <v>1576</v>
      </c>
      <c r="R33" s="83" t="s">
        <v>70</v>
      </c>
    </row>
    <row r="34" spans="1:18" ht="15.75" customHeight="1">
      <c r="A34" s="82" t="s">
        <v>71</v>
      </c>
      <c r="B34" s="129">
        <f>_xlfn.COMPOUNDVALUE(597)</f>
        <v>1036</v>
      </c>
      <c r="C34" s="130">
        <v>2546620</v>
      </c>
      <c r="D34" s="129">
        <f>_xlfn.COMPOUNDVALUE(598)</f>
        <v>1062</v>
      </c>
      <c r="E34" s="130">
        <v>289999</v>
      </c>
      <c r="F34" s="129">
        <f>_xlfn.COMPOUNDVALUE(599)</f>
        <v>2098</v>
      </c>
      <c r="G34" s="130">
        <v>2836618</v>
      </c>
      <c r="H34" s="129">
        <f>_xlfn.COMPOUNDVALUE(600)</f>
        <v>60</v>
      </c>
      <c r="I34" s="131">
        <v>45925</v>
      </c>
      <c r="J34" s="129">
        <v>85</v>
      </c>
      <c r="K34" s="131">
        <v>8952</v>
      </c>
      <c r="L34" s="129">
        <f>_xlfn.COMPOUNDVALUE(600)</f>
        <v>2190</v>
      </c>
      <c r="M34" s="131">
        <v>2799645</v>
      </c>
      <c r="N34" s="126">
        <v>2152</v>
      </c>
      <c r="O34" s="144">
        <v>30</v>
      </c>
      <c r="P34" s="144">
        <v>0</v>
      </c>
      <c r="Q34" s="145">
        <v>2182</v>
      </c>
      <c r="R34" s="83" t="s">
        <v>71</v>
      </c>
    </row>
    <row r="35" spans="1:18" ht="15.75" customHeight="1">
      <c r="A35" s="82" t="s">
        <v>72</v>
      </c>
      <c r="B35" s="129">
        <f>_xlfn.COMPOUNDVALUE(601)</f>
        <v>935</v>
      </c>
      <c r="C35" s="130">
        <v>1803024</v>
      </c>
      <c r="D35" s="129">
        <f>_xlfn.COMPOUNDVALUE(602)</f>
        <v>1086</v>
      </c>
      <c r="E35" s="130">
        <v>362811</v>
      </c>
      <c r="F35" s="129">
        <f>_xlfn.COMPOUNDVALUE(603)</f>
        <v>2021</v>
      </c>
      <c r="G35" s="130">
        <v>2165836</v>
      </c>
      <c r="H35" s="129">
        <f>_xlfn.COMPOUNDVALUE(604)</f>
        <v>60</v>
      </c>
      <c r="I35" s="131">
        <v>62187</v>
      </c>
      <c r="J35" s="129">
        <v>139</v>
      </c>
      <c r="K35" s="131">
        <v>14191</v>
      </c>
      <c r="L35" s="129">
        <f>_xlfn.COMPOUNDVALUE(604)</f>
        <v>2103</v>
      </c>
      <c r="M35" s="131">
        <v>2117839</v>
      </c>
      <c r="N35" s="126">
        <v>2044</v>
      </c>
      <c r="O35" s="144">
        <v>57</v>
      </c>
      <c r="P35" s="144">
        <v>0</v>
      </c>
      <c r="Q35" s="145">
        <v>2101</v>
      </c>
      <c r="R35" s="83" t="s">
        <v>72</v>
      </c>
    </row>
    <row r="36" spans="1:18" ht="15.75" customHeight="1">
      <c r="A36" s="84" t="s">
        <v>73</v>
      </c>
      <c r="B36" s="132">
        <v>25824</v>
      </c>
      <c r="C36" s="133">
        <v>89348844</v>
      </c>
      <c r="D36" s="132">
        <v>21148</v>
      </c>
      <c r="E36" s="133">
        <v>6408908</v>
      </c>
      <c r="F36" s="132">
        <v>46972</v>
      </c>
      <c r="G36" s="133">
        <v>95757752</v>
      </c>
      <c r="H36" s="132">
        <v>1717</v>
      </c>
      <c r="I36" s="134">
        <v>8525576</v>
      </c>
      <c r="J36" s="132">
        <v>2956</v>
      </c>
      <c r="K36" s="134">
        <v>453658</v>
      </c>
      <c r="L36" s="132">
        <v>49467</v>
      </c>
      <c r="M36" s="134">
        <v>87685834</v>
      </c>
      <c r="N36" s="132">
        <v>49298</v>
      </c>
      <c r="O36" s="146">
        <v>1080</v>
      </c>
      <c r="P36" s="146">
        <v>103</v>
      </c>
      <c r="Q36" s="147">
        <v>50481</v>
      </c>
      <c r="R36" s="85" t="s">
        <v>74</v>
      </c>
    </row>
    <row r="37" spans="1:18" ht="15.75" customHeight="1">
      <c r="A37" s="86"/>
      <c r="B37" s="135"/>
      <c r="C37" s="136"/>
      <c r="D37" s="135"/>
      <c r="E37" s="136"/>
      <c r="F37" s="137"/>
      <c r="G37" s="136"/>
      <c r="H37" s="137"/>
      <c r="I37" s="136"/>
      <c r="J37" s="137"/>
      <c r="K37" s="136"/>
      <c r="L37" s="137"/>
      <c r="M37" s="136"/>
      <c r="N37" s="148"/>
      <c r="O37" s="149"/>
      <c r="P37" s="149"/>
      <c r="Q37" s="150"/>
      <c r="R37" s="100" t="s">
        <v>136</v>
      </c>
    </row>
    <row r="38" spans="1:18" ht="15.75" customHeight="1">
      <c r="A38" s="79" t="s">
        <v>75</v>
      </c>
      <c r="B38" s="126">
        <f>_xlfn.COMPOUNDVALUE(605)</f>
        <v>8046</v>
      </c>
      <c r="C38" s="127">
        <v>23112629</v>
      </c>
      <c r="D38" s="126">
        <f>_xlfn.COMPOUNDVALUE(606)</f>
        <v>6987</v>
      </c>
      <c r="E38" s="127">
        <v>2190110</v>
      </c>
      <c r="F38" s="126">
        <f>_xlfn.COMPOUNDVALUE(607)</f>
        <v>15033</v>
      </c>
      <c r="G38" s="127">
        <v>25302739</v>
      </c>
      <c r="H38" s="126">
        <f>_xlfn.COMPOUNDVALUE(608)</f>
        <v>522</v>
      </c>
      <c r="I38" s="128">
        <v>2069815</v>
      </c>
      <c r="J38" s="126">
        <v>988</v>
      </c>
      <c r="K38" s="128">
        <v>107754</v>
      </c>
      <c r="L38" s="126">
        <f>_xlfn.COMPOUNDVALUE(608)</f>
        <v>15849</v>
      </c>
      <c r="M38" s="128">
        <v>23340678</v>
      </c>
      <c r="N38" s="126">
        <v>16614</v>
      </c>
      <c r="O38" s="144">
        <v>321</v>
      </c>
      <c r="P38" s="144">
        <v>37</v>
      </c>
      <c r="Q38" s="145">
        <v>16972</v>
      </c>
      <c r="R38" s="83" t="s">
        <v>75</v>
      </c>
    </row>
    <row r="39" spans="1:18" ht="15.75" customHeight="1">
      <c r="A39" s="79" t="s">
        <v>76</v>
      </c>
      <c r="B39" s="126">
        <f>_xlfn.COMPOUNDVALUE(609)</f>
        <v>3988</v>
      </c>
      <c r="C39" s="127">
        <v>11880845</v>
      </c>
      <c r="D39" s="126">
        <f>_xlfn.COMPOUNDVALUE(610)</f>
        <v>3593</v>
      </c>
      <c r="E39" s="127">
        <v>1044118</v>
      </c>
      <c r="F39" s="126">
        <f>_xlfn.COMPOUNDVALUE(611)</f>
        <v>7581</v>
      </c>
      <c r="G39" s="127">
        <v>12924963</v>
      </c>
      <c r="H39" s="126">
        <f>_xlfn.COMPOUNDVALUE(612)</f>
        <v>263</v>
      </c>
      <c r="I39" s="128">
        <v>484875</v>
      </c>
      <c r="J39" s="126">
        <v>595</v>
      </c>
      <c r="K39" s="128">
        <v>64755</v>
      </c>
      <c r="L39" s="126">
        <f>_xlfn.COMPOUNDVALUE(612)</f>
        <v>8049</v>
      </c>
      <c r="M39" s="128">
        <v>12504844</v>
      </c>
      <c r="N39" s="126">
        <v>8056</v>
      </c>
      <c r="O39" s="144">
        <v>181</v>
      </c>
      <c r="P39" s="144">
        <v>17</v>
      </c>
      <c r="Q39" s="145">
        <v>8254</v>
      </c>
      <c r="R39" s="83" t="s">
        <v>76</v>
      </c>
    </row>
    <row r="40" spans="1:18" ht="15.75" customHeight="1">
      <c r="A40" s="79" t="s">
        <v>77</v>
      </c>
      <c r="B40" s="126">
        <f>_xlfn.COMPOUNDVALUE(613)</f>
        <v>8578</v>
      </c>
      <c r="C40" s="127">
        <v>21588487</v>
      </c>
      <c r="D40" s="126">
        <f>_xlfn.COMPOUNDVALUE(614)</f>
        <v>6934</v>
      </c>
      <c r="E40" s="127">
        <v>2223405</v>
      </c>
      <c r="F40" s="126">
        <f>_xlfn.COMPOUNDVALUE(615)</f>
        <v>15512</v>
      </c>
      <c r="G40" s="127">
        <v>23811891</v>
      </c>
      <c r="H40" s="126">
        <f>_xlfn.COMPOUNDVALUE(616)</f>
        <v>550</v>
      </c>
      <c r="I40" s="128">
        <v>880701</v>
      </c>
      <c r="J40" s="126">
        <v>950</v>
      </c>
      <c r="K40" s="128">
        <v>158017</v>
      </c>
      <c r="L40" s="126">
        <f>_xlfn.COMPOUNDVALUE(616)</f>
        <v>16424</v>
      </c>
      <c r="M40" s="128">
        <v>23089208</v>
      </c>
      <c r="N40" s="126">
        <v>16764</v>
      </c>
      <c r="O40" s="144">
        <v>319</v>
      </c>
      <c r="P40" s="144">
        <v>42</v>
      </c>
      <c r="Q40" s="145">
        <v>17125</v>
      </c>
      <c r="R40" s="83" t="s">
        <v>77</v>
      </c>
    </row>
    <row r="41" spans="1:18" ht="15.75" customHeight="1">
      <c r="A41" s="79" t="s">
        <v>78</v>
      </c>
      <c r="B41" s="126">
        <f>_xlfn.COMPOUNDVALUE(617)</f>
        <v>4377</v>
      </c>
      <c r="C41" s="127">
        <v>13241225</v>
      </c>
      <c r="D41" s="126">
        <f>_xlfn.COMPOUNDVALUE(618)</f>
        <v>3536</v>
      </c>
      <c r="E41" s="127">
        <v>1262887</v>
      </c>
      <c r="F41" s="126">
        <f>_xlfn.COMPOUNDVALUE(619)</f>
        <v>7913</v>
      </c>
      <c r="G41" s="127">
        <v>14504112</v>
      </c>
      <c r="H41" s="126">
        <f>_xlfn.COMPOUNDVALUE(620)</f>
        <v>330</v>
      </c>
      <c r="I41" s="128">
        <v>771530</v>
      </c>
      <c r="J41" s="126">
        <v>580</v>
      </c>
      <c r="K41" s="128">
        <v>28195</v>
      </c>
      <c r="L41" s="126">
        <f>_xlfn.COMPOUNDVALUE(620)</f>
        <v>8438</v>
      </c>
      <c r="M41" s="128">
        <v>13760777</v>
      </c>
      <c r="N41" s="126">
        <v>8570</v>
      </c>
      <c r="O41" s="144">
        <v>190</v>
      </c>
      <c r="P41" s="144">
        <v>33</v>
      </c>
      <c r="Q41" s="145">
        <v>8793</v>
      </c>
      <c r="R41" s="83" t="s">
        <v>78</v>
      </c>
    </row>
    <row r="42" spans="1:18" ht="15.75" customHeight="1">
      <c r="A42" s="79" t="s">
        <v>79</v>
      </c>
      <c r="B42" s="126">
        <f>_xlfn.COMPOUNDVALUE(621)</f>
        <v>6136</v>
      </c>
      <c r="C42" s="127">
        <v>30140634</v>
      </c>
      <c r="D42" s="126">
        <f>_xlfn.COMPOUNDVALUE(622)</f>
        <v>5164</v>
      </c>
      <c r="E42" s="127">
        <v>1808496</v>
      </c>
      <c r="F42" s="126">
        <f>_xlfn.COMPOUNDVALUE(623)</f>
        <v>11300</v>
      </c>
      <c r="G42" s="127">
        <v>31949130</v>
      </c>
      <c r="H42" s="126">
        <f>_xlfn.COMPOUNDVALUE(624)</f>
        <v>458</v>
      </c>
      <c r="I42" s="128">
        <v>1659417</v>
      </c>
      <c r="J42" s="126">
        <v>794</v>
      </c>
      <c r="K42" s="128">
        <v>91070</v>
      </c>
      <c r="L42" s="126">
        <f>_xlfn.COMPOUNDVALUE(624)</f>
        <v>11974</v>
      </c>
      <c r="M42" s="128">
        <v>30380783</v>
      </c>
      <c r="N42" s="126">
        <v>11977</v>
      </c>
      <c r="O42" s="144">
        <v>333</v>
      </c>
      <c r="P42" s="144">
        <v>41</v>
      </c>
      <c r="Q42" s="145">
        <v>12351</v>
      </c>
      <c r="R42" s="83" t="s">
        <v>79</v>
      </c>
    </row>
    <row r="43" spans="1:18" ht="15.75" customHeight="1">
      <c r="A43" s="79" t="s">
        <v>80</v>
      </c>
      <c r="B43" s="126">
        <f>_xlfn.COMPOUNDVALUE(625)</f>
        <v>5544</v>
      </c>
      <c r="C43" s="127">
        <v>29021931</v>
      </c>
      <c r="D43" s="126">
        <f>_xlfn.COMPOUNDVALUE(626)</f>
        <v>4121</v>
      </c>
      <c r="E43" s="127">
        <v>1432025</v>
      </c>
      <c r="F43" s="126">
        <f>_xlfn.COMPOUNDVALUE(627)</f>
        <v>9665</v>
      </c>
      <c r="G43" s="127">
        <v>30453956</v>
      </c>
      <c r="H43" s="126">
        <f>_xlfn.COMPOUNDVALUE(628)</f>
        <v>391</v>
      </c>
      <c r="I43" s="128">
        <v>1617612</v>
      </c>
      <c r="J43" s="126">
        <v>695</v>
      </c>
      <c r="K43" s="128">
        <v>-818504</v>
      </c>
      <c r="L43" s="126">
        <f>_xlfn.COMPOUNDVALUE(628)</f>
        <v>10271</v>
      </c>
      <c r="M43" s="128">
        <v>28017840</v>
      </c>
      <c r="N43" s="126">
        <v>9952</v>
      </c>
      <c r="O43" s="144">
        <v>253</v>
      </c>
      <c r="P43" s="144">
        <v>51</v>
      </c>
      <c r="Q43" s="145">
        <v>10256</v>
      </c>
      <c r="R43" s="83" t="s">
        <v>80</v>
      </c>
    </row>
    <row r="44" spans="1:18" ht="15.75" customHeight="1">
      <c r="A44" s="79" t="s">
        <v>81</v>
      </c>
      <c r="B44" s="126">
        <f>_xlfn.COMPOUNDVALUE(629)</f>
        <v>2619</v>
      </c>
      <c r="C44" s="127">
        <v>7372001</v>
      </c>
      <c r="D44" s="126">
        <f>_xlfn.COMPOUNDVALUE(630)</f>
        <v>2213</v>
      </c>
      <c r="E44" s="127">
        <v>624541</v>
      </c>
      <c r="F44" s="126">
        <f>_xlfn.COMPOUNDVALUE(631)</f>
        <v>4832</v>
      </c>
      <c r="G44" s="127">
        <v>7996541</v>
      </c>
      <c r="H44" s="126">
        <f>_xlfn.COMPOUNDVALUE(632)</f>
        <v>201</v>
      </c>
      <c r="I44" s="128">
        <v>1014637</v>
      </c>
      <c r="J44" s="126">
        <v>334</v>
      </c>
      <c r="K44" s="128">
        <v>20835</v>
      </c>
      <c r="L44" s="126">
        <f>_xlfn.COMPOUNDVALUE(632)</f>
        <v>5118</v>
      </c>
      <c r="M44" s="128">
        <v>7002739</v>
      </c>
      <c r="N44" s="126">
        <v>4970</v>
      </c>
      <c r="O44" s="144">
        <v>122</v>
      </c>
      <c r="P44" s="144">
        <v>8</v>
      </c>
      <c r="Q44" s="145">
        <v>5100</v>
      </c>
      <c r="R44" s="83" t="s">
        <v>81</v>
      </c>
    </row>
    <row r="45" spans="1:18" ht="15.75" customHeight="1">
      <c r="A45" s="79" t="s">
        <v>82</v>
      </c>
      <c r="B45" s="126">
        <f>_xlfn.COMPOUNDVALUE(633)</f>
        <v>1278</v>
      </c>
      <c r="C45" s="127">
        <v>3632846</v>
      </c>
      <c r="D45" s="126">
        <f>_xlfn.COMPOUNDVALUE(634)</f>
        <v>1148</v>
      </c>
      <c r="E45" s="127">
        <v>331147</v>
      </c>
      <c r="F45" s="126">
        <f>_xlfn.COMPOUNDVALUE(635)</f>
        <v>2426</v>
      </c>
      <c r="G45" s="127">
        <v>3963993</v>
      </c>
      <c r="H45" s="126">
        <f>_xlfn.COMPOUNDVALUE(636)</f>
        <v>53</v>
      </c>
      <c r="I45" s="128">
        <v>33401</v>
      </c>
      <c r="J45" s="126">
        <v>104</v>
      </c>
      <c r="K45" s="128">
        <v>11526</v>
      </c>
      <c r="L45" s="126">
        <f>_xlfn.COMPOUNDVALUE(636)</f>
        <v>2500</v>
      </c>
      <c r="M45" s="128">
        <v>3942118</v>
      </c>
      <c r="N45" s="126">
        <v>2436</v>
      </c>
      <c r="O45" s="144">
        <v>40</v>
      </c>
      <c r="P45" s="144">
        <v>6</v>
      </c>
      <c r="Q45" s="145">
        <v>2482</v>
      </c>
      <c r="R45" s="83" t="s">
        <v>82</v>
      </c>
    </row>
    <row r="46" spans="1:18" ht="15.75" customHeight="1">
      <c r="A46" s="82" t="s">
        <v>83</v>
      </c>
      <c r="B46" s="129">
        <f>_xlfn.COMPOUNDVALUE(637)</f>
        <v>6425</v>
      </c>
      <c r="C46" s="130">
        <v>17130409</v>
      </c>
      <c r="D46" s="129">
        <f>_xlfn.COMPOUNDVALUE(638)</f>
        <v>6024</v>
      </c>
      <c r="E46" s="130">
        <v>1899257</v>
      </c>
      <c r="F46" s="129">
        <f>_xlfn.COMPOUNDVALUE(639)</f>
        <v>12449</v>
      </c>
      <c r="G46" s="130">
        <v>19029666</v>
      </c>
      <c r="H46" s="129">
        <f>_xlfn.COMPOUNDVALUE(640)</f>
        <v>432</v>
      </c>
      <c r="I46" s="131">
        <v>1140088</v>
      </c>
      <c r="J46" s="129">
        <v>760</v>
      </c>
      <c r="K46" s="131">
        <v>107210</v>
      </c>
      <c r="L46" s="129">
        <f>_xlfn.COMPOUNDVALUE(640)</f>
        <v>13136</v>
      </c>
      <c r="M46" s="131">
        <v>17996788</v>
      </c>
      <c r="N46" s="126">
        <v>13405</v>
      </c>
      <c r="O46" s="144">
        <v>264</v>
      </c>
      <c r="P46" s="144">
        <v>14</v>
      </c>
      <c r="Q46" s="145">
        <v>13683</v>
      </c>
      <c r="R46" s="83" t="s">
        <v>83</v>
      </c>
    </row>
    <row r="47" spans="1:18" ht="15.75" customHeight="1">
      <c r="A47" s="82" t="s">
        <v>84</v>
      </c>
      <c r="B47" s="129">
        <f>_xlfn.COMPOUNDVALUE(641)</f>
        <v>1418</v>
      </c>
      <c r="C47" s="130">
        <v>6376196</v>
      </c>
      <c r="D47" s="129">
        <f>_xlfn.COMPOUNDVALUE(642)</f>
        <v>1330</v>
      </c>
      <c r="E47" s="130">
        <v>370480</v>
      </c>
      <c r="F47" s="129">
        <f>_xlfn.COMPOUNDVALUE(643)</f>
        <v>2748</v>
      </c>
      <c r="G47" s="130">
        <v>6746676</v>
      </c>
      <c r="H47" s="129">
        <f>_xlfn.COMPOUNDVALUE(644)</f>
        <v>91</v>
      </c>
      <c r="I47" s="131">
        <v>542352</v>
      </c>
      <c r="J47" s="129">
        <v>187</v>
      </c>
      <c r="K47" s="131">
        <v>50437</v>
      </c>
      <c r="L47" s="129">
        <f>_xlfn.COMPOUNDVALUE(644)</f>
        <v>2889</v>
      </c>
      <c r="M47" s="131">
        <v>6254761</v>
      </c>
      <c r="N47" s="126">
        <v>2883</v>
      </c>
      <c r="O47" s="144">
        <v>65</v>
      </c>
      <c r="P47" s="144">
        <v>7</v>
      </c>
      <c r="Q47" s="145">
        <v>2955</v>
      </c>
      <c r="R47" s="83" t="s">
        <v>84</v>
      </c>
    </row>
    <row r="48" spans="1:18" ht="15.75" customHeight="1">
      <c r="A48" s="82" t="s">
        <v>85</v>
      </c>
      <c r="B48" s="129">
        <f>_xlfn.COMPOUNDVALUE(645)</f>
        <v>2275</v>
      </c>
      <c r="C48" s="130">
        <v>6763270</v>
      </c>
      <c r="D48" s="129">
        <f>_xlfn.COMPOUNDVALUE(646)</f>
        <v>1897</v>
      </c>
      <c r="E48" s="130">
        <v>555615</v>
      </c>
      <c r="F48" s="129">
        <f>_xlfn.COMPOUNDVALUE(647)</f>
        <v>4172</v>
      </c>
      <c r="G48" s="130">
        <v>7318885</v>
      </c>
      <c r="H48" s="129">
        <f>_xlfn.COMPOUNDVALUE(648)</f>
        <v>143</v>
      </c>
      <c r="I48" s="131">
        <v>554547</v>
      </c>
      <c r="J48" s="129">
        <v>314</v>
      </c>
      <c r="K48" s="131">
        <v>58815</v>
      </c>
      <c r="L48" s="129">
        <f>_xlfn.COMPOUNDVALUE(648)</f>
        <v>4410</v>
      </c>
      <c r="M48" s="131">
        <v>6823153</v>
      </c>
      <c r="N48" s="126">
        <v>4397</v>
      </c>
      <c r="O48" s="144">
        <v>101</v>
      </c>
      <c r="P48" s="144">
        <v>8</v>
      </c>
      <c r="Q48" s="145">
        <v>4506</v>
      </c>
      <c r="R48" s="83" t="s">
        <v>85</v>
      </c>
    </row>
    <row r="49" spans="1:18" ht="15.75" customHeight="1">
      <c r="A49" s="82" t="s">
        <v>86</v>
      </c>
      <c r="B49" s="129">
        <f>_xlfn.COMPOUNDVALUE(649)</f>
        <v>6801</v>
      </c>
      <c r="C49" s="130">
        <v>15491624</v>
      </c>
      <c r="D49" s="129">
        <f>_xlfn.COMPOUNDVALUE(650)</f>
        <v>5881</v>
      </c>
      <c r="E49" s="130">
        <v>1772328</v>
      </c>
      <c r="F49" s="129">
        <f>_xlfn.COMPOUNDVALUE(651)</f>
        <v>12682</v>
      </c>
      <c r="G49" s="130">
        <v>17263952</v>
      </c>
      <c r="H49" s="129">
        <f>_xlfn.COMPOUNDVALUE(652)</f>
        <v>576</v>
      </c>
      <c r="I49" s="131">
        <v>2208913</v>
      </c>
      <c r="J49" s="129">
        <v>953</v>
      </c>
      <c r="K49" s="131">
        <v>141469</v>
      </c>
      <c r="L49" s="129">
        <f>_xlfn.COMPOUNDVALUE(652)</f>
        <v>13590</v>
      </c>
      <c r="M49" s="131">
        <v>15196507</v>
      </c>
      <c r="N49" s="126">
        <v>13430</v>
      </c>
      <c r="O49" s="144">
        <v>348</v>
      </c>
      <c r="P49" s="144">
        <v>39</v>
      </c>
      <c r="Q49" s="145">
        <v>13817</v>
      </c>
      <c r="R49" s="83" t="s">
        <v>86</v>
      </c>
    </row>
    <row r="50" spans="1:18" ht="15.75" customHeight="1">
      <c r="A50" s="82" t="s">
        <v>87</v>
      </c>
      <c r="B50" s="129">
        <f>_xlfn.COMPOUNDVALUE(653)</f>
        <v>4335</v>
      </c>
      <c r="C50" s="130">
        <v>16480986</v>
      </c>
      <c r="D50" s="129">
        <f>_xlfn.COMPOUNDVALUE(654)</f>
        <v>3870</v>
      </c>
      <c r="E50" s="130">
        <v>1230723</v>
      </c>
      <c r="F50" s="129">
        <f>_xlfn.COMPOUNDVALUE(655)</f>
        <v>8205</v>
      </c>
      <c r="G50" s="130">
        <v>17711709</v>
      </c>
      <c r="H50" s="129">
        <f>_xlfn.COMPOUNDVALUE(656)</f>
        <v>287</v>
      </c>
      <c r="I50" s="131">
        <v>432170</v>
      </c>
      <c r="J50" s="129">
        <v>522</v>
      </c>
      <c r="K50" s="131">
        <v>194743</v>
      </c>
      <c r="L50" s="129">
        <f>_xlfn.COMPOUNDVALUE(656)</f>
        <v>8661</v>
      </c>
      <c r="M50" s="131">
        <v>17474282</v>
      </c>
      <c r="N50" s="126">
        <v>8565</v>
      </c>
      <c r="O50" s="144">
        <v>190</v>
      </c>
      <c r="P50" s="144">
        <v>10</v>
      </c>
      <c r="Q50" s="145">
        <v>8765</v>
      </c>
      <c r="R50" s="83" t="s">
        <v>87</v>
      </c>
    </row>
    <row r="51" spans="1:18" ht="15.75" customHeight="1">
      <c r="A51" s="82" t="s">
        <v>88</v>
      </c>
      <c r="B51" s="129">
        <f>_xlfn.COMPOUNDVALUE(657)</f>
        <v>7853</v>
      </c>
      <c r="C51" s="130">
        <v>19056664</v>
      </c>
      <c r="D51" s="129">
        <f>_xlfn.COMPOUNDVALUE(658)</f>
        <v>6201</v>
      </c>
      <c r="E51" s="130">
        <v>1979059</v>
      </c>
      <c r="F51" s="129">
        <f>_xlfn.COMPOUNDVALUE(659)</f>
        <v>14054</v>
      </c>
      <c r="G51" s="130">
        <v>21035723</v>
      </c>
      <c r="H51" s="129">
        <f>_xlfn.COMPOUNDVALUE(660)</f>
        <v>511</v>
      </c>
      <c r="I51" s="131">
        <v>1289860</v>
      </c>
      <c r="J51" s="129">
        <v>860</v>
      </c>
      <c r="K51" s="131">
        <v>52358</v>
      </c>
      <c r="L51" s="129">
        <f>_xlfn.COMPOUNDVALUE(660)</f>
        <v>14817</v>
      </c>
      <c r="M51" s="131">
        <v>19798221</v>
      </c>
      <c r="N51" s="126">
        <v>15123</v>
      </c>
      <c r="O51" s="144">
        <v>346</v>
      </c>
      <c r="P51" s="144">
        <v>39</v>
      </c>
      <c r="Q51" s="145">
        <v>15508</v>
      </c>
      <c r="R51" s="83" t="s">
        <v>88</v>
      </c>
    </row>
    <row r="52" spans="1:18" ht="15.75" customHeight="1">
      <c r="A52" s="82" t="s">
        <v>89</v>
      </c>
      <c r="B52" s="129">
        <f>_xlfn.COMPOUNDVALUE(661)</f>
        <v>4510</v>
      </c>
      <c r="C52" s="130">
        <v>23059200</v>
      </c>
      <c r="D52" s="129">
        <f>_xlfn.COMPOUNDVALUE(662)</f>
        <v>4033</v>
      </c>
      <c r="E52" s="130">
        <v>1328569</v>
      </c>
      <c r="F52" s="129">
        <f>_xlfn.COMPOUNDVALUE(663)</f>
        <v>8543</v>
      </c>
      <c r="G52" s="130">
        <v>24387769</v>
      </c>
      <c r="H52" s="129">
        <f>_xlfn.COMPOUNDVALUE(664)</f>
        <v>319</v>
      </c>
      <c r="I52" s="131">
        <v>1762996</v>
      </c>
      <c r="J52" s="129">
        <v>593</v>
      </c>
      <c r="K52" s="131">
        <v>63871</v>
      </c>
      <c r="L52" s="129">
        <f>_xlfn.COMPOUNDVALUE(664)</f>
        <v>9013</v>
      </c>
      <c r="M52" s="131">
        <v>22688644</v>
      </c>
      <c r="N52" s="126">
        <v>9277</v>
      </c>
      <c r="O52" s="144">
        <v>233</v>
      </c>
      <c r="P52" s="144">
        <v>30</v>
      </c>
      <c r="Q52" s="145">
        <v>9540</v>
      </c>
      <c r="R52" s="83" t="s">
        <v>89</v>
      </c>
    </row>
    <row r="53" spans="1:18" ht="15.75" customHeight="1">
      <c r="A53" s="84" t="s">
        <v>90</v>
      </c>
      <c r="B53" s="132">
        <v>74183</v>
      </c>
      <c r="C53" s="133">
        <v>244348947</v>
      </c>
      <c r="D53" s="132">
        <v>62932</v>
      </c>
      <c r="E53" s="133">
        <v>20052760</v>
      </c>
      <c r="F53" s="132">
        <v>137115</v>
      </c>
      <c r="G53" s="133">
        <v>264401706</v>
      </c>
      <c r="H53" s="132">
        <v>5127</v>
      </c>
      <c r="I53" s="134">
        <v>16462915</v>
      </c>
      <c r="J53" s="132">
        <v>9229</v>
      </c>
      <c r="K53" s="134">
        <v>332553</v>
      </c>
      <c r="L53" s="132">
        <v>145139</v>
      </c>
      <c r="M53" s="134">
        <v>248271344</v>
      </c>
      <c r="N53" s="132">
        <v>146419</v>
      </c>
      <c r="O53" s="146">
        <v>3306</v>
      </c>
      <c r="P53" s="146">
        <v>382</v>
      </c>
      <c r="Q53" s="147">
        <v>150107</v>
      </c>
      <c r="R53" s="85" t="s">
        <v>91</v>
      </c>
    </row>
    <row r="54" spans="1:18" ht="15.75" customHeight="1">
      <c r="A54" s="86"/>
      <c r="B54" s="135"/>
      <c r="C54" s="136"/>
      <c r="D54" s="135"/>
      <c r="E54" s="136"/>
      <c r="F54" s="137"/>
      <c r="G54" s="136"/>
      <c r="H54" s="137"/>
      <c r="I54" s="136"/>
      <c r="J54" s="137"/>
      <c r="K54" s="136"/>
      <c r="L54" s="137"/>
      <c r="M54" s="136"/>
      <c r="N54" s="148"/>
      <c r="O54" s="149"/>
      <c r="P54" s="149"/>
      <c r="Q54" s="150"/>
      <c r="R54" s="100" t="s">
        <v>136</v>
      </c>
    </row>
    <row r="55" spans="1:18" ht="15.75" customHeight="1">
      <c r="A55" s="79" t="s">
        <v>92</v>
      </c>
      <c r="B55" s="126">
        <f>_xlfn.COMPOUNDVALUE(665)</f>
        <v>8386</v>
      </c>
      <c r="C55" s="127">
        <v>41178260</v>
      </c>
      <c r="D55" s="126">
        <f>_xlfn.COMPOUNDVALUE(666)</f>
        <v>6038</v>
      </c>
      <c r="E55" s="127">
        <v>1886561</v>
      </c>
      <c r="F55" s="126">
        <f>_xlfn.COMPOUNDVALUE(667)</f>
        <v>14424</v>
      </c>
      <c r="G55" s="127">
        <v>43064822</v>
      </c>
      <c r="H55" s="126">
        <f>_xlfn.COMPOUNDVALUE(668)</f>
        <v>557</v>
      </c>
      <c r="I55" s="128">
        <v>1807248</v>
      </c>
      <c r="J55" s="126">
        <v>1194</v>
      </c>
      <c r="K55" s="128">
        <v>179979</v>
      </c>
      <c r="L55" s="126">
        <f>_xlfn.COMPOUNDVALUE(668)</f>
        <v>15286</v>
      </c>
      <c r="M55" s="128">
        <v>41437552</v>
      </c>
      <c r="N55" s="126">
        <v>15097</v>
      </c>
      <c r="O55" s="144">
        <v>371</v>
      </c>
      <c r="P55" s="144">
        <v>46</v>
      </c>
      <c r="Q55" s="145">
        <v>15514</v>
      </c>
      <c r="R55" s="83" t="s">
        <v>92</v>
      </c>
    </row>
    <row r="56" spans="1:18" ht="15.75" customHeight="1">
      <c r="A56" s="79" t="s">
        <v>93</v>
      </c>
      <c r="B56" s="126">
        <f>_xlfn.COMPOUNDVALUE(669)</f>
        <v>1380</v>
      </c>
      <c r="C56" s="127">
        <v>2960747</v>
      </c>
      <c r="D56" s="126">
        <f>_xlfn.COMPOUNDVALUE(670)</f>
        <v>1175</v>
      </c>
      <c r="E56" s="127">
        <v>349777</v>
      </c>
      <c r="F56" s="126">
        <f>_xlfn.COMPOUNDVALUE(671)</f>
        <v>2555</v>
      </c>
      <c r="G56" s="127">
        <v>3310524</v>
      </c>
      <c r="H56" s="126">
        <f>_xlfn.COMPOUNDVALUE(672)</f>
        <v>62</v>
      </c>
      <c r="I56" s="128">
        <v>90473</v>
      </c>
      <c r="J56" s="126">
        <v>228</v>
      </c>
      <c r="K56" s="128">
        <v>36727</v>
      </c>
      <c r="L56" s="126">
        <f>_xlfn.COMPOUNDVALUE(672)</f>
        <v>2637</v>
      </c>
      <c r="M56" s="128">
        <v>3256777</v>
      </c>
      <c r="N56" s="126">
        <v>2664</v>
      </c>
      <c r="O56" s="144">
        <v>22</v>
      </c>
      <c r="P56" s="144">
        <v>4</v>
      </c>
      <c r="Q56" s="145">
        <v>2690</v>
      </c>
      <c r="R56" s="83" t="s">
        <v>93</v>
      </c>
    </row>
    <row r="57" spans="1:18" ht="15.75" customHeight="1">
      <c r="A57" s="79" t="s">
        <v>94</v>
      </c>
      <c r="B57" s="126">
        <f>_xlfn.COMPOUNDVALUE(673)</f>
        <v>2394</v>
      </c>
      <c r="C57" s="127">
        <v>6483000</v>
      </c>
      <c r="D57" s="126">
        <f>_xlfn.COMPOUNDVALUE(674)</f>
        <v>1797</v>
      </c>
      <c r="E57" s="127">
        <v>516648</v>
      </c>
      <c r="F57" s="126">
        <f>_xlfn.COMPOUNDVALUE(675)</f>
        <v>4191</v>
      </c>
      <c r="G57" s="127">
        <v>6999649</v>
      </c>
      <c r="H57" s="126">
        <f>_xlfn.COMPOUNDVALUE(676)</f>
        <v>139</v>
      </c>
      <c r="I57" s="128">
        <v>429169</v>
      </c>
      <c r="J57" s="126">
        <v>180</v>
      </c>
      <c r="K57" s="128">
        <v>17702</v>
      </c>
      <c r="L57" s="126">
        <f>_xlfn.COMPOUNDVALUE(676)</f>
        <v>4359</v>
      </c>
      <c r="M57" s="128">
        <v>6588182</v>
      </c>
      <c r="N57" s="126">
        <v>4309</v>
      </c>
      <c r="O57" s="144">
        <v>78</v>
      </c>
      <c r="P57" s="144">
        <v>14</v>
      </c>
      <c r="Q57" s="145">
        <v>4401</v>
      </c>
      <c r="R57" s="83" t="s">
        <v>94</v>
      </c>
    </row>
    <row r="58" spans="1:18" ht="15.75" customHeight="1">
      <c r="A58" s="79" t="s">
        <v>95</v>
      </c>
      <c r="B58" s="126">
        <f>_xlfn.COMPOUNDVALUE(677)</f>
        <v>3664</v>
      </c>
      <c r="C58" s="127">
        <v>13214222</v>
      </c>
      <c r="D58" s="126">
        <f>_xlfn.COMPOUNDVALUE(678)</f>
        <v>2698</v>
      </c>
      <c r="E58" s="127">
        <v>824585</v>
      </c>
      <c r="F58" s="126">
        <f>_xlfn.COMPOUNDVALUE(679)</f>
        <v>6362</v>
      </c>
      <c r="G58" s="127">
        <v>14038807</v>
      </c>
      <c r="H58" s="126">
        <f>_xlfn.COMPOUNDVALUE(680)</f>
        <v>170</v>
      </c>
      <c r="I58" s="128">
        <v>1452177</v>
      </c>
      <c r="J58" s="126">
        <v>404</v>
      </c>
      <c r="K58" s="128">
        <v>39007</v>
      </c>
      <c r="L58" s="126">
        <f>_xlfn.COMPOUNDVALUE(680)</f>
        <v>6619</v>
      </c>
      <c r="M58" s="128">
        <v>12625636</v>
      </c>
      <c r="N58" s="126">
        <v>6502</v>
      </c>
      <c r="O58" s="144">
        <v>85</v>
      </c>
      <c r="P58" s="144">
        <v>15</v>
      </c>
      <c r="Q58" s="145">
        <v>6602</v>
      </c>
      <c r="R58" s="83" t="s">
        <v>95</v>
      </c>
    </row>
    <row r="59" spans="1:18" ht="15.75" customHeight="1">
      <c r="A59" s="79" t="s">
        <v>96</v>
      </c>
      <c r="B59" s="126">
        <f>_xlfn.COMPOUNDVALUE(681)</f>
        <v>2802</v>
      </c>
      <c r="C59" s="127">
        <v>10205836</v>
      </c>
      <c r="D59" s="126">
        <f>_xlfn.COMPOUNDVALUE(682)</f>
        <v>2006</v>
      </c>
      <c r="E59" s="127">
        <v>564894</v>
      </c>
      <c r="F59" s="126">
        <f>_xlfn.COMPOUNDVALUE(683)</f>
        <v>4808</v>
      </c>
      <c r="G59" s="127">
        <v>10770730</v>
      </c>
      <c r="H59" s="126">
        <f>_xlfn.COMPOUNDVALUE(684)</f>
        <v>136</v>
      </c>
      <c r="I59" s="128">
        <v>943476</v>
      </c>
      <c r="J59" s="126">
        <v>310</v>
      </c>
      <c r="K59" s="128">
        <v>39935</v>
      </c>
      <c r="L59" s="126">
        <f>_xlfn.COMPOUNDVALUE(684)</f>
        <v>4994</v>
      </c>
      <c r="M59" s="128">
        <v>9867188</v>
      </c>
      <c r="N59" s="126">
        <v>4830</v>
      </c>
      <c r="O59" s="144">
        <v>72</v>
      </c>
      <c r="P59" s="144">
        <v>11</v>
      </c>
      <c r="Q59" s="145">
        <v>4913</v>
      </c>
      <c r="R59" s="83" t="s">
        <v>96</v>
      </c>
    </row>
    <row r="60" spans="1:18" ht="15.75" customHeight="1">
      <c r="A60" s="79" t="s">
        <v>97</v>
      </c>
      <c r="B60" s="126">
        <f>_xlfn.COMPOUNDVALUE(685)</f>
        <v>1065</v>
      </c>
      <c r="C60" s="127">
        <v>3848443</v>
      </c>
      <c r="D60" s="126">
        <f>_xlfn.COMPOUNDVALUE(686)</f>
        <v>825</v>
      </c>
      <c r="E60" s="127">
        <v>241473</v>
      </c>
      <c r="F60" s="126">
        <f>_xlfn.COMPOUNDVALUE(687)</f>
        <v>1890</v>
      </c>
      <c r="G60" s="127">
        <v>4089916</v>
      </c>
      <c r="H60" s="126">
        <f>_xlfn.COMPOUNDVALUE(688)</f>
        <v>50</v>
      </c>
      <c r="I60" s="128">
        <v>180924</v>
      </c>
      <c r="J60" s="126">
        <v>127</v>
      </c>
      <c r="K60" s="128">
        <v>13431</v>
      </c>
      <c r="L60" s="126">
        <f>_xlfn.COMPOUNDVALUE(688)</f>
        <v>1948</v>
      </c>
      <c r="M60" s="128">
        <v>3922423</v>
      </c>
      <c r="N60" s="126">
        <v>1873</v>
      </c>
      <c r="O60" s="144">
        <v>41</v>
      </c>
      <c r="P60" s="144">
        <v>4</v>
      </c>
      <c r="Q60" s="145">
        <v>1918</v>
      </c>
      <c r="R60" s="83" t="s">
        <v>97</v>
      </c>
    </row>
    <row r="61" spans="1:18" ht="15.75" customHeight="1">
      <c r="A61" s="82" t="s">
        <v>98</v>
      </c>
      <c r="B61" s="129">
        <f>_xlfn.COMPOUNDVALUE(689)</f>
        <v>2051</v>
      </c>
      <c r="C61" s="130">
        <v>5732594</v>
      </c>
      <c r="D61" s="129">
        <f>_xlfn.COMPOUNDVALUE(690)</f>
        <v>1944</v>
      </c>
      <c r="E61" s="130">
        <v>574832</v>
      </c>
      <c r="F61" s="129">
        <f>_xlfn.COMPOUNDVALUE(691)</f>
        <v>3995</v>
      </c>
      <c r="G61" s="130">
        <v>6307426</v>
      </c>
      <c r="H61" s="129">
        <f>_xlfn.COMPOUNDVALUE(692)</f>
        <v>157</v>
      </c>
      <c r="I61" s="131">
        <v>594938</v>
      </c>
      <c r="J61" s="129">
        <v>342</v>
      </c>
      <c r="K61" s="131">
        <v>107102</v>
      </c>
      <c r="L61" s="129">
        <f>_xlfn.COMPOUNDVALUE(692)</f>
        <v>4211</v>
      </c>
      <c r="M61" s="131">
        <v>5819590</v>
      </c>
      <c r="N61" s="126">
        <v>4103</v>
      </c>
      <c r="O61" s="144">
        <v>85</v>
      </c>
      <c r="P61" s="144">
        <v>8</v>
      </c>
      <c r="Q61" s="145">
        <v>4196</v>
      </c>
      <c r="R61" s="83" t="s">
        <v>98</v>
      </c>
    </row>
    <row r="62" spans="1:18" ht="15.75" customHeight="1">
      <c r="A62" s="82" t="s">
        <v>99</v>
      </c>
      <c r="B62" s="129">
        <f>_xlfn.COMPOUNDVALUE(693)</f>
        <v>2268</v>
      </c>
      <c r="C62" s="130">
        <v>5600226</v>
      </c>
      <c r="D62" s="129">
        <f>_xlfn.COMPOUNDVALUE(694)</f>
        <v>1845</v>
      </c>
      <c r="E62" s="130">
        <v>531587</v>
      </c>
      <c r="F62" s="129">
        <f>_xlfn.COMPOUNDVALUE(695)</f>
        <v>4113</v>
      </c>
      <c r="G62" s="130">
        <v>6131812</v>
      </c>
      <c r="H62" s="129">
        <f>_xlfn.COMPOUNDVALUE(696)</f>
        <v>96</v>
      </c>
      <c r="I62" s="131">
        <v>296318</v>
      </c>
      <c r="J62" s="129">
        <v>231</v>
      </c>
      <c r="K62" s="131">
        <v>44382</v>
      </c>
      <c r="L62" s="129">
        <f>_xlfn.COMPOUNDVALUE(696)</f>
        <v>4242</v>
      </c>
      <c r="M62" s="131">
        <v>5879876</v>
      </c>
      <c r="N62" s="126">
        <v>4161</v>
      </c>
      <c r="O62" s="144">
        <v>66</v>
      </c>
      <c r="P62" s="144">
        <v>11</v>
      </c>
      <c r="Q62" s="145">
        <v>4238</v>
      </c>
      <c r="R62" s="83" t="s">
        <v>99</v>
      </c>
    </row>
    <row r="63" spans="1:18" ht="15.75" customHeight="1">
      <c r="A63" s="82" t="s">
        <v>100</v>
      </c>
      <c r="B63" s="129">
        <f>_xlfn.COMPOUNDVALUE(697)</f>
        <v>974</v>
      </c>
      <c r="C63" s="130">
        <v>2257432</v>
      </c>
      <c r="D63" s="129">
        <f>_xlfn.COMPOUNDVALUE(698)</f>
        <v>884</v>
      </c>
      <c r="E63" s="130">
        <v>258376</v>
      </c>
      <c r="F63" s="129">
        <f>_xlfn.COMPOUNDVALUE(699)</f>
        <v>1858</v>
      </c>
      <c r="G63" s="130">
        <v>2515808</v>
      </c>
      <c r="H63" s="129">
        <f>_xlfn.COMPOUNDVALUE(700)</f>
        <v>35</v>
      </c>
      <c r="I63" s="131">
        <v>31309</v>
      </c>
      <c r="J63" s="129">
        <v>163</v>
      </c>
      <c r="K63" s="131">
        <v>16483</v>
      </c>
      <c r="L63" s="129">
        <f>_xlfn.COMPOUNDVALUE(700)</f>
        <v>1935</v>
      </c>
      <c r="M63" s="131">
        <v>2500982</v>
      </c>
      <c r="N63" s="126">
        <v>1843</v>
      </c>
      <c r="O63" s="144">
        <v>42</v>
      </c>
      <c r="P63" s="144">
        <v>4</v>
      </c>
      <c r="Q63" s="145">
        <v>1889</v>
      </c>
      <c r="R63" s="83" t="s">
        <v>100</v>
      </c>
    </row>
    <row r="64" spans="1:18" ht="15.75" customHeight="1">
      <c r="A64" s="82" t="s">
        <v>101</v>
      </c>
      <c r="B64" s="129">
        <f>_xlfn.COMPOUNDVALUE(701)</f>
        <v>857</v>
      </c>
      <c r="C64" s="130">
        <v>1679440</v>
      </c>
      <c r="D64" s="129">
        <f>_xlfn.COMPOUNDVALUE(702)</f>
        <v>725</v>
      </c>
      <c r="E64" s="130">
        <v>207195</v>
      </c>
      <c r="F64" s="129">
        <f>_xlfn.COMPOUNDVALUE(703)</f>
        <v>1582</v>
      </c>
      <c r="G64" s="130">
        <v>1886635</v>
      </c>
      <c r="H64" s="129">
        <f>_xlfn.COMPOUNDVALUE(704)</f>
        <v>37</v>
      </c>
      <c r="I64" s="131">
        <v>20332</v>
      </c>
      <c r="J64" s="129">
        <v>147</v>
      </c>
      <c r="K64" s="131">
        <v>11151</v>
      </c>
      <c r="L64" s="129">
        <f>_xlfn.COMPOUNDVALUE(704)</f>
        <v>1635</v>
      </c>
      <c r="M64" s="131">
        <v>1877454</v>
      </c>
      <c r="N64" s="126">
        <v>1601</v>
      </c>
      <c r="O64" s="144">
        <v>36</v>
      </c>
      <c r="P64" s="144">
        <v>2</v>
      </c>
      <c r="Q64" s="145">
        <v>1639</v>
      </c>
      <c r="R64" s="83" t="s">
        <v>101</v>
      </c>
    </row>
    <row r="65" spans="1:18" ht="15.75" customHeight="1">
      <c r="A65" s="82" t="s">
        <v>102</v>
      </c>
      <c r="B65" s="129">
        <f>_xlfn.COMPOUNDVALUE(705)</f>
        <v>558</v>
      </c>
      <c r="C65" s="130">
        <v>1625859</v>
      </c>
      <c r="D65" s="129">
        <f>_xlfn.COMPOUNDVALUE(706)</f>
        <v>492</v>
      </c>
      <c r="E65" s="130">
        <v>139338</v>
      </c>
      <c r="F65" s="129">
        <f>_xlfn.COMPOUNDVALUE(707)</f>
        <v>1050</v>
      </c>
      <c r="G65" s="130">
        <v>1765197</v>
      </c>
      <c r="H65" s="129">
        <f>_xlfn.COMPOUNDVALUE(708)</f>
        <v>25</v>
      </c>
      <c r="I65" s="131">
        <v>14651</v>
      </c>
      <c r="J65" s="129">
        <v>56</v>
      </c>
      <c r="K65" s="131">
        <v>6784</v>
      </c>
      <c r="L65" s="129">
        <f>_xlfn.COMPOUNDVALUE(708)</f>
        <v>1092</v>
      </c>
      <c r="M65" s="131">
        <v>1757330</v>
      </c>
      <c r="N65" s="126">
        <v>987</v>
      </c>
      <c r="O65" s="144">
        <v>36</v>
      </c>
      <c r="P65" s="144">
        <v>3</v>
      </c>
      <c r="Q65" s="145">
        <v>1026</v>
      </c>
      <c r="R65" s="83" t="s">
        <v>102</v>
      </c>
    </row>
    <row r="66" spans="1:18" ht="15.75" customHeight="1">
      <c r="A66" s="82" t="s">
        <v>103</v>
      </c>
      <c r="B66" s="129">
        <f>_xlfn.COMPOUNDVALUE(709)</f>
        <v>2771</v>
      </c>
      <c r="C66" s="130">
        <v>8587307</v>
      </c>
      <c r="D66" s="129">
        <f>_xlfn.COMPOUNDVALUE(710)</f>
        <v>2254</v>
      </c>
      <c r="E66" s="130">
        <v>683183</v>
      </c>
      <c r="F66" s="129">
        <f>_xlfn.COMPOUNDVALUE(711)</f>
        <v>5025</v>
      </c>
      <c r="G66" s="130">
        <v>9270491</v>
      </c>
      <c r="H66" s="129">
        <f>_xlfn.COMPOUNDVALUE(712)</f>
        <v>166</v>
      </c>
      <c r="I66" s="131">
        <v>763705</v>
      </c>
      <c r="J66" s="129">
        <v>331</v>
      </c>
      <c r="K66" s="131">
        <v>12224</v>
      </c>
      <c r="L66" s="129">
        <f>_xlfn.COMPOUNDVALUE(712)</f>
        <v>5270</v>
      </c>
      <c r="M66" s="131">
        <v>8519010</v>
      </c>
      <c r="N66" s="126">
        <v>5157</v>
      </c>
      <c r="O66" s="144">
        <v>97</v>
      </c>
      <c r="P66" s="144">
        <v>7</v>
      </c>
      <c r="Q66" s="145">
        <v>5261</v>
      </c>
      <c r="R66" s="83" t="s">
        <v>103</v>
      </c>
    </row>
    <row r="67" spans="1:18" ht="15.75" customHeight="1">
      <c r="A67" s="82" t="s">
        <v>104</v>
      </c>
      <c r="B67" s="129">
        <f>_xlfn.COMPOUNDVALUE(713)</f>
        <v>760</v>
      </c>
      <c r="C67" s="130">
        <v>1490896</v>
      </c>
      <c r="D67" s="129">
        <f>_xlfn.COMPOUNDVALUE(714)</f>
        <v>612</v>
      </c>
      <c r="E67" s="130">
        <v>157494</v>
      </c>
      <c r="F67" s="129">
        <f>_xlfn.COMPOUNDVALUE(715)</f>
        <v>1372</v>
      </c>
      <c r="G67" s="130">
        <v>1648390</v>
      </c>
      <c r="H67" s="129">
        <f>_xlfn.COMPOUNDVALUE(716)</f>
        <v>36</v>
      </c>
      <c r="I67" s="131">
        <v>15824</v>
      </c>
      <c r="J67" s="129">
        <v>94</v>
      </c>
      <c r="K67" s="131">
        <v>8965</v>
      </c>
      <c r="L67" s="129">
        <f>_xlfn.COMPOUNDVALUE(716)</f>
        <v>1428</v>
      </c>
      <c r="M67" s="131">
        <v>1641531</v>
      </c>
      <c r="N67" s="126">
        <v>1399</v>
      </c>
      <c r="O67" s="144">
        <v>19</v>
      </c>
      <c r="P67" s="144">
        <v>2</v>
      </c>
      <c r="Q67" s="145">
        <v>1420</v>
      </c>
      <c r="R67" s="83" t="s">
        <v>105</v>
      </c>
    </row>
    <row r="68" spans="1:18" ht="15.75" customHeight="1">
      <c r="A68" s="84" t="s">
        <v>106</v>
      </c>
      <c r="B68" s="132">
        <v>29930</v>
      </c>
      <c r="C68" s="133">
        <v>104864262</v>
      </c>
      <c r="D68" s="132">
        <v>23295</v>
      </c>
      <c r="E68" s="133">
        <v>6935943</v>
      </c>
      <c r="F68" s="132">
        <v>53225</v>
      </c>
      <c r="G68" s="133">
        <v>111800206</v>
      </c>
      <c r="H68" s="132">
        <v>1666</v>
      </c>
      <c r="I68" s="134">
        <v>6640545</v>
      </c>
      <c r="J68" s="132">
        <v>3807</v>
      </c>
      <c r="K68" s="134">
        <v>533871</v>
      </c>
      <c r="L68" s="132">
        <v>55656</v>
      </c>
      <c r="M68" s="134">
        <v>105693531</v>
      </c>
      <c r="N68" s="132">
        <v>54526</v>
      </c>
      <c r="O68" s="146">
        <v>1050</v>
      </c>
      <c r="P68" s="146">
        <v>131</v>
      </c>
      <c r="Q68" s="147">
        <v>55707</v>
      </c>
      <c r="R68" s="85" t="s">
        <v>107</v>
      </c>
    </row>
    <row r="69" spans="1:18" ht="15.75" customHeight="1">
      <c r="A69" s="86"/>
      <c r="B69" s="135"/>
      <c r="C69" s="136"/>
      <c r="D69" s="135"/>
      <c r="E69" s="136"/>
      <c r="F69" s="137"/>
      <c r="G69" s="136"/>
      <c r="H69" s="137"/>
      <c r="I69" s="136"/>
      <c r="J69" s="137"/>
      <c r="K69" s="136"/>
      <c r="L69" s="137"/>
      <c r="M69" s="136"/>
      <c r="N69" s="148"/>
      <c r="O69" s="149"/>
      <c r="P69" s="149"/>
      <c r="Q69" s="150"/>
      <c r="R69" s="100" t="s">
        <v>136</v>
      </c>
    </row>
    <row r="70" spans="1:18" ht="15.75" customHeight="1">
      <c r="A70" s="79" t="s">
        <v>108</v>
      </c>
      <c r="B70" s="126">
        <f>_xlfn.COMPOUNDVALUE(717)</f>
        <v>5886</v>
      </c>
      <c r="C70" s="127">
        <v>25625602</v>
      </c>
      <c r="D70" s="126">
        <f>_xlfn.COMPOUNDVALUE(718)</f>
        <v>4208</v>
      </c>
      <c r="E70" s="127">
        <v>1309474</v>
      </c>
      <c r="F70" s="126">
        <f>_xlfn.COMPOUNDVALUE(719)</f>
        <v>10094</v>
      </c>
      <c r="G70" s="127">
        <v>26935076</v>
      </c>
      <c r="H70" s="126">
        <f>_xlfn.COMPOUNDVALUE(720)</f>
        <v>301</v>
      </c>
      <c r="I70" s="128">
        <v>3779010</v>
      </c>
      <c r="J70" s="126">
        <v>747</v>
      </c>
      <c r="K70" s="128">
        <v>114837</v>
      </c>
      <c r="L70" s="126">
        <f>_xlfn.COMPOUNDVALUE(720)</f>
        <v>10684</v>
      </c>
      <c r="M70" s="128">
        <v>23270903</v>
      </c>
      <c r="N70" s="126">
        <v>10769</v>
      </c>
      <c r="O70" s="144">
        <v>180</v>
      </c>
      <c r="P70" s="144">
        <v>27</v>
      </c>
      <c r="Q70" s="145">
        <v>10976</v>
      </c>
      <c r="R70" s="83" t="s">
        <v>108</v>
      </c>
    </row>
    <row r="71" spans="1:18" ht="15.75" customHeight="1">
      <c r="A71" s="79" t="s">
        <v>109</v>
      </c>
      <c r="B71" s="126">
        <f>_xlfn.COMPOUNDVALUE(721)</f>
        <v>5264</v>
      </c>
      <c r="C71" s="127">
        <v>16932102</v>
      </c>
      <c r="D71" s="126">
        <f>_xlfn.COMPOUNDVALUE(722)</f>
        <v>4222</v>
      </c>
      <c r="E71" s="127">
        <v>1247458</v>
      </c>
      <c r="F71" s="126">
        <f>_xlfn.COMPOUNDVALUE(723)</f>
        <v>9486</v>
      </c>
      <c r="G71" s="127">
        <v>18179560</v>
      </c>
      <c r="H71" s="126">
        <f>_xlfn.COMPOUNDVALUE(724)</f>
        <v>287</v>
      </c>
      <c r="I71" s="128">
        <v>703634</v>
      </c>
      <c r="J71" s="126">
        <v>610</v>
      </c>
      <c r="K71" s="128">
        <v>177446</v>
      </c>
      <c r="L71" s="126">
        <f>_xlfn.COMPOUNDVALUE(724)</f>
        <v>9885</v>
      </c>
      <c r="M71" s="128">
        <v>17653373</v>
      </c>
      <c r="N71" s="126">
        <v>10035</v>
      </c>
      <c r="O71" s="144">
        <v>191</v>
      </c>
      <c r="P71" s="144">
        <v>26</v>
      </c>
      <c r="Q71" s="145">
        <v>10252</v>
      </c>
      <c r="R71" s="83" t="s">
        <v>109</v>
      </c>
    </row>
    <row r="72" spans="1:18" ht="15.75" customHeight="1">
      <c r="A72" s="79" t="s">
        <v>110</v>
      </c>
      <c r="B72" s="126">
        <f>_xlfn.COMPOUNDVALUE(725)</f>
        <v>3375</v>
      </c>
      <c r="C72" s="127">
        <v>10857269</v>
      </c>
      <c r="D72" s="126">
        <f>_xlfn.COMPOUNDVALUE(726)</f>
        <v>2596</v>
      </c>
      <c r="E72" s="127">
        <v>753171</v>
      </c>
      <c r="F72" s="126">
        <f>_xlfn.COMPOUNDVALUE(727)</f>
        <v>5971</v>
      </c>
      <c r="G72" s="127">
        <v>11610439</v>
      </c>
      <c r="H72" s="126">
        <f>_xlfn.COMPOUNDVALUE(728)</f>
        <v>203</v>
      </c>
      <c r="I72" s="128">
        <v>3710257</v>
      </c>
      <c r="J72" s="126">
        <v>424</v>
      </c>
      <c r="K72" s="128">
        <v>41229</v>
      </c>
      <c r="L72" s="126">
        <f>_xlfn.COMPOUNDVALUE(728)</f>
        <v>6277</v>
      </c>
      <c r="M72" s="128">
        <v>7941412</v>
      </c>
      <c r="N72" s="126">
        <v>6162</v>
      </c>
      <c r="O72" s="144">
        <v>96</v>
      </c>
      <c r="P72" s="144">
        <v>10</v>
      </c>
      <c r="Q72" s="145">
        <v>6268</v>
      </c>
      <c r="R72" s="83" t="s">
        <v>110</v>
      </c>
    </row>
    <row r="73" spans="1:18" ht="15.75" customHeight="1">
      <c r="A73" s="82" t="s">
        <v>111</v>
      </c>
      <c r="B73" s="129">
        <f>_xlfn.COMPOUNDVALUE(729)</f>
        <v>2313</v>
      </c>
      <c r="C73" s="130">
        <v>6210442</v>
      </c>
      <c r="D73" s="129">
        <f>_xlfn.COMPOUNDVALUE(730)</f>
        <v>1758</v>
      </c>
      <c r="E73" s="130">
        <v>504794</v>
      </c>
      <c r="F73" s="129">
        <f>_xlfn.COMPOUNDVALUE(731)</f>
        <v>4071</v>
      </c>
      <c r="G73" s="130">
        <v>6715236</v>
      </c>
      <c r="H73" s="129">
        <f>_xlfn.COMPOUNDVALUE(732)</f>
        <v>115</v>
      </c>
      <c r="I73" s="131">
        <v>336812</v>
      </c>
      <c r="J73" s="129">
        <v>294</v>
      </c>
      <c r="K73" s="131">
        <v>41831</v>
      </c>
      <c r="L73" s="129">
        <f>_xlfn.COMPOUNDVALUE(732)</f>
        <v>4242</v>
      </c>
      <c r="M73" s="131">
        <v>6420255</v>
      </c>
      <c r="N73" s="126">
        <v>4256</v>
      </c>
      <c r="O73" s="144">
        <v>102</v>
      </c>
      <c r="P73" s="144">
        <v>7</v>
      </c>
      <c r="Q73" s="145">
        <v>4365</v>
      </c>
      <c r="R73" s="83" t="s">
        <v>111</v>
      </c>
    </row>
    <row r="74" spans="1:18" ht="15.75" customHeight="1">
      <c r="A74" s="82" t="s">
        <v>112</v>
      </c>
      <c r="B74" s="129">
        <f>_xlfn.COMPOUNDVALUE(733)</f>
        <v>3015</v>
      </c>
      <c r="C74" s="130">
        <v>9476167</v>
      </c>
      <c r="D74" s="129">
        <f>_xlfn.COMPOUNDVALUE(734)</f>
        <v>2287</v>
      </c>
      <c r="E74" s="130">
        <v>665629</v>
      </c>
      <c r="F74" s="129">
        <f>_xlfn.COMPOUNDVALUE(735)</f>
        <v>5302</v>
      </c>
      <c r="G74" s="130">
        <v>10141796</v>
      </c>
      <c r="H74" s="129">
        <f>_xlfn.COMPOUNDVALUE(736)</f>
        <v>203</v>
      </c>
      <c r="I74" s="131">
        <v>1842171</v>
      </c>
      <c r="J74" s="129">
        <v>302</v>
      </c>
      <c r="K74" s="131">
        <v>43112</v>
      </c>
      <c r="L74" s="129">
        <f>_xlfn.COMPOUNDVALUE(736)</f>
        <v>5579</v>
      </c>
      <c r="M74" s="131">
        <v>8342737</v>
      </c>
      <c r="N74" s="126">
        <v>5524</v>
      </c>
      <c r="O74" s="144">
        <v>107</v>
      </c>
      <c r="P74" s="144">
        <v>19</v>
      </c>
      <c r="Q74" s="145">
        <v>5650</v>
      </c>
      <c r="R74" s="83" t="s">
        <v>112</v>
      </c>
    </row>
    <row r="75" spans="1:18" ht="15.75" customHeight="1">
      <c r="A75" s="82" t="s">
        <v>113</v>
      </c>
      <c r="B75" s="129">
        <f>_xlfn.COMPOUNDVALUE(737)</f>
        <v>2224</v>
      </c>
      <c r="C75" s="130">
        <v>6993909</v>
      </c>
      <c r="D75" s="129">
        <f>_xlfn.COMPOUNDVALUE(738)</f>
        <v>1888</v>
      </c>
      <c r="E75" s="130">
        <v>549813</v>
      </c>
      <c r="F75" s="129">
        <f>_xlfn.COMPOUNDVALUE(739)</f>
        <v>4112</v>
      </c>
      <c r="G75" s="130">
        <v>7543722</v>
      </c>
      <c r="H75" s="129">
        <f>_xlfn.COMPOUNDVALUE(740)</f>
        <v>173</v>
      </c>
      <c r="I75" s="131">
        <v>1086949</v>
      </c>
      <c r="J75" s="129">
        <v>267</v>
      </c>
      <c r="K75" s="131">
        <v>18344</v>
      </c>
      <c r="L75" s="129">
        <f>_xlfn.COMPOUNDVALUE(740)</f>
        <v>4355</v>
      </c>
      <c r="M75" s="131">
        <v>6475117</v>
      </c>
      <c r="N75" s="126">
        <v>4355</v>
      </c>
      <c r="O75" s="144">
        <v>92</v>
      </c>
      <c r="P75" s="144">
        <v>10</v>
      </c>
      <c r="Q75" s="145">
        <v>4457</v>
      </c>
      <c r="R75" s="83" t="s">
        <v>113</v>
      </c>
    </row>
    <row r="76" spans="1:18" ht="15.75" customHeight="1">
      <c r="A76" s="82" t="s">
        <v>114</v>
      </c>
      <c r="B76" s="129">
        <f>_xlfn.COMPOUNDVALUE(741)</f>
        <v>1488</v>
      </c>
      <c r="C76" s="130">
        <v>2829064</v>
      </c>
      <c r="D76" s="129">
        <f>_xlfn.COMPOUNDVALUE(742)</f>
        <v>1326</v>
      </c>
      <c r="E76" s="130">
        <v>362082</v>
      </c>
      <c r="F76" s="129">
        <f>_xlfn.COMPOUNDVALUE(743)</f>
        <v>2814</v>
      </c>
      <c r="G76" s="130">
        <v>3191145</v>
      </c>
      <c r="H76" s="129">
        <f>_xlfn.COMPOUNDVALUE(744)</f>
        <v>70</v>
      </c>
      <c r="I76" s="131">
        <v>114096</v>
      </c>
      <c r="J76" s="129">
        <v>202</v>
      </c>
      <c r="K76" s="131">
        <v>18296</v>
      </c>
      <c r="L76" s="129">
        <f>_xlfn.COMPOUNDVALUE(744)</f>
        <v>2920</v>
      </c>
      <c r="M76" s="131">
        <v>3095346</v>
      </c>
      <c r="N76" s="126">
        <v>2902</v>
      </c>
      <c r="O76" s="144">
        <v>101</v>
      </c>
      <c r="P76" s="144">
        <v>6</v>
      </c>
      <c r="Q76" s="145">
        <v>3009</v>
      </c>
      <c r="R76" s="83" t="s">
        <v>114</v>
      </c>
    </row>
    <row r="77" spans="1:18" ht="15.75" customHeight="1">
      <c r="A77" s="82" t="s">
        <v>115</v>
      </c>
      <c r="B77" s="129">
        <f>_xlfn.COMPOUNDVALUE(745)</f>
        <v>853</v>
      </c>
      <c r="C77" s="130">
        <v>1708201</v>
      </c>
      <c r="D77" s="129">
        <f>_xlfn.COMPOUNDVALUE(746)</f>
        <v>708</v>
      </c>
      <c r="E77" s="130">
        <v>208235</v>
      </c>
      <c r="F77" s="129">
        <f>_xlfn.COMPOUNDVALUE(747)</f>
        <v>1561</v>
      </c>
      <c r="G77" s="130">
        <v>1916435</v>
      </c>
      <c r="H77" s="129">
        <f>_xlfn.COMPOUNDVALUE(748)</f>
        <v>40</v>
      </c>
      <c r="I77" s="131">
        <v>18570</v>
      </c>
      <c r="J77" s="129">
        <v>120</v>
      </c>
      <c r="K77" s="131">
        <v>6600</v>
      </c>
      <c r="L77" s="129">
        <f>_xlfn.COMPOUNDVALUE(748)</f>
        <v>1626</v>
      </c>
      <c r="M77" s="131">
        <v>1904466</v>
      </c>
      <c r="N77" s="126">
        <v>1613</v>
      </c>
      <c r="O77" s="144">
        <v>42</v>
      </c>
      <c r="P77" s="144">
        <v>2</v>
      </c>
      <c r="Q77" s="145">
        <v>1657</v>
      </c>
      <c r="R77" s="83" t="s">
        <v>115</v>
      </c>
    </row>
    <row r="78" spans="1:18" ht="15.75" customHeight="1">
      <c r="A78" s="82" t="s">
        <v>116</v>
      </c>
      <c r="B78" s="129">
        <f>_xlfn.COMPOUNDVALUE(749)</f>
        <v>2824</v>
      </c>
      <c r="C78" s="130">
        <v>7063635</v>
      </c>
      <c r="D78" s="129">
        <f>_xlfn.COMPOUNDVALUE(750)</f>
        <v>2920</v>
      </c>
      <c r="E78" s="130">
        <v>904760</v>
      </c>
      <c r="F78" s="129">
        <f>_xlfn.COMPOUNDVALUE(751)</f>
        <v>5744</v>
      </c>
      <c r="G78" s="130">
        <v>7968395</v>
      </c>
      <c r="H78" s="129">
        <f>_xlfn.COMPOUNDVALUE(752)</f>
        <v>188</v>
      </c>
      <c r="I78" s="131">
        <v>1808831</v>
      </c>
      <c r="J78" s="129">
        <v>426</v>
      </c>
      <c r="K78" s="131">
        <v>41243</v>
      </c>
      <c r="L78" s="129">
        <f>_xlfn.COMPOUNDVALUE(752)</f>
        <v>6042</v>
      </c>
      <c r="M78" s="131">
        <v>6200806</v>
      </c>
      <c r="N78" s="126">
        <v>5871</v>
      </c>
      <c r="O78" s="144">
        <v>127</v>
      </c>
      <c r="P78" s="144">
        <v>19</v>
      </c>
      <c r="Q78" s="145">
        <v>6017</v>
      </c>
      <c r="R78" s="83" t="s">
        <v>116</v>
      </c>
    </row>
    <row r="79" spans="1:18" ht="15.75" customHeight="1">
      <c r="A79" s="82" t="s">
        <v>117</v>
      </c>
      <c r="B79" s="129">
        <f>_xlfn.COMPOUNDVALUE(753)</f>
        <v>478</v>
      </c>
      <c r="C79" s="130">
        <v>1052123</v>
      </c>
      <c r="D79" s="129">
        <f>_xlfn.COMPOUNDVALUE(754)</f>
        <v>372</v>
      </c>
      <c r="E79" s="130">
        <v>104431</v>
      </c>
      <c r="F79" s="129">
        <f>_xlfn.COMPOUNDVALUE(755)</f>
        <v>850</v>
      </c>
      <c r="G79" s="130">
        <v>1156554</v>
      </c>
      <c r="H79" s="129">
        <f>_xlfn.COMPOUNDVALUE(756)</f>
        <v>18</v>
      </c>
      <c r="I79" s="131">
        <v>12402</v>
      </c>
      <c r="J79" s="129">
        <v>55</v>
      </c>
      <c r="K79" s="131">
        <v>-713</v>
      </c>
      <c r="L79" s="129">
        <f>_xlfn.COMPOUNDVALUE(756)</f>
        <v>878</v>
      </c>
      <c r="M79" s="131">
        <v>1143440</v>
      </c>
      <c r="N79" s="126">
        <v>822</v>
      </c>
      <c r="O79" s="144">
        <v>23</v>
      </c>
      <c r="P79" s="144">
        <v>1</v>
      </c>
      <c r="Q79" s="145">
        <v>846</v>
      </c>
      <c r="R79" s="83" t="s">
        <v>117</v>
      </c>
    </row>
    <row r="80" spans="1:18" ht="15.75" customHeight="1">
      <c r="A80" s="84" t="s">
        <v>118</v>
      </c>
      <c r="B80" s="132">
        <v>27720</v>
      </c>
      <c r="C80" s="133">
        <v>88748513</v>
      </c>
      <c r="D80" s="132">
        <v>22285</v>
      </c>
      <c r="E80" s="133">
        <v>6609846</v>
      </c>
      <c r="F80" s="132">
        <v>50005</v>
      </c>
      <c r="G80" s="133">
        <v>95358359</v>
      </c>
      <c r="H80" s="132">
        <v>1598</v>
      </c>
      <c r="I80" s="134">
        <v>13412731</v>
      </c>
      <c r="J80" s="132">
        <v>3447</v>
      </c>
      <c r="K80" s="134">
        <v>502226</v>
      </c>
      <c r="L80" s="132">
        <v>52488</v>
      </c>
      <c r="M80" s="134">
        <v>82447855</v>
      </c>
      <c r="N80" s="132">
        <v>52309</v>
      </c>
      <c r="O80" s="146">
        <v>1061</v>
      </c>
      <c r="P80" s="146">
        <v>127</v>
      </c>
      <c r="Q80" s="147">
        <v>53497</v>
      </c>
      <c r="R80" s="85" t="s">
        <v>119</v>
      </c>
    </row>
    <row r="81" spans="1:18" ht="15.75" customHeight="1" thickBot="1">
      <c r="A81" s="89"/>
      <c r="B81" s="138"/>
      <c r="C81" s="139"/>
      <c r="D81" s="138"/>
      <c r="E81" s="139"/>
      <c r="F81" s="140"/>
      <c r="G81" s="139"/>
      <c r="H81" s="140"/>
      <c r="I81" s="139"/>
      <c r="J81" s="140"/>
      <c r="K81" s="139"/>
      <c r="L81" s="140"/>
      <c r="M81" s="139"/>
      <c r="N81" s="151"/>
      <c r="O81" s="152"/>
      <c r="P81" s="152"/>
      <c r="Q81" s="153"/>
      <c r="R81" s="101" t="s">
        <v>136</v>
      </c>
    </row>
    <row r="82" spans="1:18" ht="15.75" customHeight="1" thickBot="1" thickTop="1">
      <c r="A82" s="92" t="s">
        <v>121</v>
      </c>
      <c r="B82" s="141">
        <v>216055</v>
      </c>
      <c r="C82" s="142">
        <v>709824718</v>
      </c>
      <c r="D82" s="141">
        <v>179547</v>
      </c>
      <c r="E82" s="142">
        <v>55205666</v>
      </c>
      <c r="F82" s="141">
        <v>395602</v>
      </c>
      <c r="G82" s="142">
        <v>765030384</v>
      </c>
      <c r="H82" s="141">
        <v>13720</v>
      </c>
      <c r="I82" s="143">
        <v>57669916</v>
      </c>
      <c r="J82" s="141">
        <v>26973</v>
      </c>
      <c r="K82" s="143">
        <v>2764160</v>
      </c>
      <c r="L82" s="141">
        <v>416771</v>
      </c>
      <c r="M82" s="143">
        <v>710124627</v>
      </c>
      <c r="N82" s="154">
        <v>417193</v>
      </c>
      <c r="O82" s="155">
        <v>9007</v>
      </c>
      <c r="P82" s="155">
        <v>1040</v>
      </c>
      <c r="Q82" s="156">
        <v>427240</v>
      </c>
      <c r="R82" s="102" t="s">
        <v>121</v>
      </c>
    </row>
    <row r="83" spans="1:11" ht="13.5">
      <c r="A83" s="191" t="s">
        <v>137</v>
      </c>
      <c r="B83" s="191"/>
      <c r="C83" s="191"/>
      <c r="D83" s="191"/>
      <c r="E83" s="191"/>
      <c r="F83" s="191"/>
      <c r="G83" s="191"/>
      <c r="H83" s="191"/>
      <c r="I83" s="191"/>
      <c r="J83" s="191"/>
      <c r="K83" s="191"/>
    </row>
  </sheetData>
  <sheetProtection/>
  <mergeCells count="16">
    <mergeCell ref="A83:K83"/>
    <mergeCell ref="N3:Q3"/>
    <mergeCell ref="R3:R5"/>
    <mergeCell ref="B4:C4"/>
    <mergeCell ref="D4:E4"/>
    <mergeCell ref="F4:G4"/>
    <mergeCell ref="N4:N5"/>
    <mergeCell ref="O4:O5"/>
    <mergeCell ref="P4:P5"/>
    <mergeCell ref="Q4:Q5"/>
    <mergeCell ref="L3:M4"/>
    <mergeCell ref="A2:I2"/>
    <mergeCell ref="A3:A5"/>
    <mergeCell ref="B3:G3"/>
    <mergeCell ref="H3:I4"/>
    <mergeCell ref="J3:K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1" r:id="rId1"/>
  <headerFooter alignWithMargins="0">
    <oddFooter>&amp;R関東信越国税局
消費税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2015-06-09T01:11:20Z</cp:lastPrinted>
  <dcterms:created xsi:type="dcterms:W3CDTF">2003-07-09T01:05:10Z</dcterms:created>
  <dcterms:modified xsi:type="dcterms:W3CDTF">2015-06-10T02:14:41Z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説明">
    <vt:lpwstr/>
  </property>
</Properties>
</file>