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'(4)税務署別(個人事業者）'!$A$1:$N$83</definedName>
    <definedName name="_xlnm.Print_Area" localSheetId="5">'(4)税務署別（合計）'!$A$1:$R$83</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<sst xmlns="http://schemas.openxmlformats.org/spreadsheetml/2006/main" count="624" uniqueCount="167">
  <si>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</si>
  <si>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</si>
  <si>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</si>
  <si>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</si>
  <si>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</si>
  <si>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</si>
  <si>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</si>
  <si>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</si>
  <si>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</si>
  <si>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</si>
  <si>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</si>
  <si>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</si>
  <si>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</si>
  <si>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</si>
  <si>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</si>
  <si>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</si>
  <si>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</si>
  <si>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</si>
  <si>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</si>
  <si>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</si>
  <si>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</si>
  <si>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</si>
  <si>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</si>
  <si>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</si>
  <si>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</si>
  <si>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</si>
  <si>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</si>
  <si>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</si>
  <si>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</si>
  <si>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</si>
  <si>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</si>
  <si>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</si>
  <si>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</si>
  <si>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</si>
  <si>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</si>
  <si>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</si>
  <si>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平成21年度</t>
  </si>
  <si>
    <t>平成22年度</t>
  </si>
  <si>
    <t>（注）１</t>
  </si>
  <si>
    <t>税関分は含まない。</t>
  </si>
  <si>
    <t>　　　２</t>
  </si>
  <si>
    <t>「件数欄」の「実」は、実件数を示す。</t>
  </si>
  <si>
    <t>平成23年度</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</si>
  <si>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</si>
  <si>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</si>
  <si>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</si>
  <si>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</si>
  <si>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</si>
  <si>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</si>
  <si>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</si>
  <si>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</si>
  <si>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</si>
  <si>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</si>
  <si>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　数</t>
  </si>
  <si>
    <t>税額</t>
  </si>
  <si>
    <t>税　額　①</t>
  </si>
  <si>
    <t>税　額　②</t>
  </si>
  <si>
    <t>税　額　③</t>
  </si>
  <si>
    <t>税　　　額
(①－②＋③)</t>
  </si>
  <si>
    <t>水戸</t>
  </si>
  <si>
    <t>日立</t>
  </si>
  <si>
    <t>土浦</t>
  </si>
  <si>
    <t>古河</t>
  </si>
  <si>
    <t>下館</t>
  </si>
  <si>
    <t>竜ケ崎</t>
  </si>
  <si>
    <t>竜ケ崎</t>
  </si>
  <si>
    <t>太田</t>
  </si>
  <si>
    <t>潮来</t>
  </si>
  <si>
    <t>茨城県計</t>
  </si>
  <si>
    <t>茨城県計</t>
  </si>
  <si>
    <t>宇都宮</t>
  </si>
  <si>
    <t>足利</t>
  </si>
  <si>
    <t>栃木</t>
  </si>
  <si>
    <t>佐野</t>
  </si>
  <si>
    <t>鹿沼</t>
  </si>
  <si>
    <t>真岡</t>
  </si>
  <si>
    <t>大田原</t>
  </si>
  <si>
    <t>氏家</t>
  </si>
  <si>
    <t>栃木県計</t>
  </si>
  <si>
    <t>栃木県計</t>
  </si>
  <si>
    <t>前橋</t>
  </si>
  <si>
    <t>高崎</t>
  </si>
  <si>
    <t>桐生</t>
  </si>
  <si>
    <t>伊勢崎</t>
  </si>
  <si>
    <t>沼田</t>
  </si>
  <si>
    <t>館林</t>
  </si>
  <si>
    <t>藤岡</t>
  </si>
  <si>
    <t>富岡</t>
  </si>
  <si>
    <t>中之条</t>
  </si>
  <si>
    <t>群馬県計</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</si>
  <si>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</si>
  <si>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</si>
  <si>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</si>
  <si>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</si>
  <si>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</si>
  <si>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</si>
  <si>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</si>
  <si>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</si>
  <si>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</si>
  <si>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</si>
  <si>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</si>
  <si>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</si>
  <si>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</si>
  <si>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</si>
  <si>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</si>
  <si>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</si>
  <si>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</si>
  <si>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埼玉県計</t>
  </si>
  <si>
    <t>新潟</t>
  </si>
  <si>
    <t>新津</t>
  </si>
  <si>
    <t>巻</t>
  </si>
  <si>
    <t>長岡</t>
  </si>
  <si>
    <t>三条</t>
  </si>
  <si>
    <t>柏崎</t>
  </si>
  <si>
    <t>新発田</t>
  </si>
  <si>
    <t>小千谷</t>
  </si>
  <si>
    <t>十日町</t>
  </si>
  <si>
    <t>村上</t>
  </si>
  <si>
    <t>糸魚川</t>
  </si>
  <si>
    <t>高田</t>
  </si>
  <si>
    <t>佐渡</t>
  </si>
  <si>
    <t>佐渡</t>
  </si>
  <si>
    <t>新潟県計</t>
  </si>
  <si>
    <t>新潟県計</t>
  </si>
  <si>
    <t>長野</t>
  </si>
  <si>
    <t>松本</t>
  </si>
  <si>
    <t>上田</t>
  </si>
  <si>
    <t>飯田</t>
  </si>
  <si>
    <t>諏訪</t>
  </si>
  <si>
    <t>伊那</t>
  </si>
  <si>
    <t>信濃中野</t>
  </si>
  <si>
    <t>大町</t>
  </si>
  <si>
    <t>佐久</t>
  </si>
  <si>
    <t>木曽</t>
  </si>
  <si>
    <t>長野県計</t>
  </si>
  <si>
    <t>長野県計</t>
  </si>
  <si>
    <t>総　計</t>
  </si>
  <si>
    <t>総　計</t>
  </si>
  <si>
    <t>（注）この表は「(1)　課税状況」の現年分を税務署別に示したものである（加算税を除く。）。</t>
  </si>
  <si>
    <t>(4)　税務署別課税状況（続）</t>
  </si>
  <si>
    <t>　ロ　法　　　人</t>
  </si>
  <si>
    <t>税務署名</t>
  </si>
  <si>
    <t>茨城県計</t>
  </si>
  <si>
    <t>栃木県計</t>
  </si>
  <si>
    <t>群馬県計</t>
  </si>
  <si>
    <t>埼玉県計</t>
  </si>
  <si>
    <t>佐渡</t>
  </si>
  <si>
    <t>新潟県計</t>
  </si>
  <si>
    <t>長野県計</t>
  </si>
  <si>
    <t>総　計</t>
  </si>
  <si>
    <t>　ハ　個人事業者と法人の合計</t>
  </si>
  <si>
    <t>課　税　事　業　者　等　届　出　件　数</t>
  </si>
  <si>
    <t>課税事業者
届出</t>
  </si>
  <si>
    <t>課税事業者
選択届出</t>
  </si>
  <si>
    <t>新設法人に
該当する旨
の届出</t>
  </si>
  <si>
    <t>合　　　計</t>
  </si>
  <si>
    <t>件 数</t>
  </si>
  <si>
    <t>税 額</t>
  </si>
  <si>
    <t>税　　額
(①－②＋③)</t>
  </si>
  <si>
    <t>茨城県計</t>
  </si>
  <si>
    <t/>
  </si>
  <si>
    <t>（注）この表は「(1)　課税状況」の現年分及び「(3)　課税事業者等届出件数」を税務署別に示したものである（加算税を除く。）。</t>
  </si>
  <si>
    <t>「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</si>
  <si>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</si>
  <si>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</si>
  <si>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平成24年度</t>
  </si>
  <si>
    <t>調査対象等：平成24年度末（平成25年３月31日現在）の届出件数を示している。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</si>
</sst>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8">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u val="single"/>
      <sz val="16.5"/>
      <color indexed="12"/>
      <name val="ＭＳ Ｐゴシック"/>
      <family val="3"/>
    </font>
    <font>
      <b/>
      <sz val="9"/>
      <name val="ＭＳ 明朝"/>
      <family val="1"/>
    </font>
    <font>
      <b/>
      <sz val="11"/>
      <name val="ＭＳ ゴシック"/>
      <family val="3"/>
    </font>
    <font>
      <sz val="8.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top style="medium"/>
      <bottom/>
    </border>
    <border>
      <left style="thin"/>
      <right/>
      <top/>
      <bottom style="medium"/>
    </border>
    <border>
      <left style="hair"/>
      <right style="medium"/>
      <top style="thin"/>
      <bottom/>
    </border>
    <border>
      <left style="thin"/>
      <right style="hair"/>
      <top/>
      <bottom/>
    </border>
    <border>
      <left style="thin"/>
      <right style="hair"/>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border>
    <border>
      <left style="hair"/>
      <right style="thin"/>
      <top style="hair">
        <color indexed="55"/>
      </top>
      <bottom style="thin"/>
    </border>
    <border>
      <left style="hair"/>
      <right style="hair"/>
      <top/>
      <bottom style="medium"/>
    </border>
    <border>
      <left style="hair"/>
      <right style="thin"/>
      <top/>
      <bottom style="medium"/>
    </border>
    <border>
      <left style="hair"/>
      <right style="medium"/>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border>
    <border>
      <left style="hair"/>
      <right style="hair"/>
      <top style="thin"/>
      <bottom style="hair">
        <color indexed="55"/>
      </bottom>
    </border>
    <border>
      <left style="hair"/>
      <right style="thin"/>
      <top/>
      <bottom style="hair">
        <color indexed="55"/>
      </bottom>
    </border>
    <border>
      <left style="hair"/>
      <right style="hair"/>
      <top/>
      <bottom style="hair">
        <color indexed="55"/>
      </bottom>
    </border>
    <border>
      <left style="hair"/>
      <right style="medium"/>
      <top/>
      <bottom style="hair">
        <color indexed="55"/>
      </bottom>
    </border>
    <border>
      <left style="medium"/>
      <right/>
      <top style="thin"/>
      <bottom/>
    </border>
    <border>
      <left style="thin"/>
      <right style="hair"/>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top style="medium"/>
      <bottom/>
    </border>
    <border>
      <left style="thin"/>
      <right style="medium"/>
      <top style="medium"/>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style="medium"/>
      <top style="thin">
        <color indexed="55"/>
      </top>
      <bottom style="thin">
        <color indexed="55"/>
      </bottom>
    </border>
    <border>
      <left style="thin"/>
      <right style="medium"/>
      <top style="thin">
        <color indexed="55"/>
      </top>
      <bottom style="hair">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top/>
      <bottom style="medium"/>
    </border>
    <border>
      <left style="hair"/>
      <right/>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medium"/>
      <top style="thin">
        <color indexed="23"/>
      </top>
      <bottom style="thin">
        <color indexed="23"/>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style="medium"/>
      <right/>
      <top/>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0" fillId="0" borderId="0">
      <alignment vertical="center"/>
      <protection/>
    </xf>
    <xf numFmtId="0" fontId="46" fillId="32" borderId="0" applyNumberFormat="0" applyBorder="0" applyAlignment="0" applyProtection="0"/>
  </cellStyleXfs>
  <cellXfs count="221">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xf>
    <xf numFmtId="3" fontId="3" fillId="33" borderId="14" xfId="0" applyNumberFormat="1" applyFont="1" applyFill="1" applyBorder="1" applyAlignment="1">
      <alignment horizontal="right" vertical="center" indent="1"/>
    </xf>
    <xf numFmtId="3" fontId="3" fillId="33" borderId="15" xfId="0" applyNumberFormat="1" applyFont="1" applyFill="1" applyBorder="1" applyAlignment="1">
      <alignment horizontal="right" vertical="center" indent="1"/>
    </xf>
    <xf numFmtId="3" fontId="3" fillId="33" borderId="16" xfId="0" applyNumberFormat="1" applyFont="1" applyFill="1" applyBorder="1" applyAlignment="1">
      <alignment horizontal="right" vertical="center" indent="1"/>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center" vertical="center"/>
    </xf>
    <xf numFmtId="3" fontId="3" fillId="33" borderId="20" xfId="0" applyNumberFormat="1" applyFont="1" applyFill="1" applyBorder="1" applyAlignment="1">
      <alignment horizontal="right" vertical="center" indent="1"/>
    </xf>
    <xf numFmtId="0" fontId="3" fillId="0" borderId="21" xfId="0" applyFont="1" applyBorder="1" applyAlignment="1">
      <alignment horizontal="center" vertical="center"/>
    </xf>
    <xf numFmtId="0" fontId="3" fillId="0" borderId="22" xfId="0" applyFont="1" applyBorder="1" applyAlignment="1">
      <alignment horizontal="right" vertical="center"/>
    </xf>
    <xf numFmtId="0" fontId="5" fillId="0" borderId="22" xfId="0" applyFont="1" applyBorder="1" applyAlignment="1">
      <alignment horizontal="right" vertical="center"/>
    </xf>
    <xf numFmtId="0" fontId="3" fillId="0" borderId="23" xfId="0" applyFont="1" applyBorder="1" applyAlignment="1">
      <alignment horizontal="right" vertical="center"/>
    </xf>
    <xf numFmtId="3" fontId="3" fillId="0" borderId="22" xfId="0" applyNumberFormat="1" applyFont="1" applyBorder="1" applyAlignment="1">
      <alignment horizontal="right" vertical="center"/>
    </xf>
    <xf numFmtId="3" fontId="3" fillId="0" borderId="23" xfId="0" applyNumberFormat="1" applyFont="1" applyBorder="1" applyAlignment="1">
      <alignment horizontal="right" vertical="center"/>
    </xf>
    <xf numFmtId="3" fontId="3" fillId="34" borderId="24" xfId="0" applyNumberFormat="1" applyFont="1" applyFill="1" applyBorder="1" applyAlignment="1">
      <alignment horizontal="right" vertical="center"/>
    </xf>
    <xf numFmtId="3" fontId="3" fillId="33" borderId="25" xfId="0" applyNumberFormat="1" applyFont="1" applyFill="1" applyBorder="1" applyAlignment="1">
      <alignment horizontal="right" vertical="center"/>
    </xf>
    <xf numFmtId="3" fontId="3" fillId="34" borderId="26" xfId="0" applyNumberFormat="1" applyFont="1" applyFill="1" applyBorder="1" applyAlignment="1">
      <alignment horizontal="right" vertical="center"/>
    </xf>
    <xf numFmtId="3" fontId="5" fillId="33" borderId="25" xfId="0" applyNumberFormat="1" applyFont="1" applyFill="1" applyBorder="1" applyAlignment="1">
      <alignment horizontal="right" vertical="center"/>
    </xf>
    <xf numFmtId="3" fontId="5" fillId="34" borderId="26" xfId="0" applyNumberFormat="1" applyFont="1" applyFill="1" applyBorder="1" applyAlignment="1">
      <alignment horizontal="right" vertical="center"/>
    </xf>
    <xf numFmtId="3" fontId="3" fillId="33" borderId="27" xfId="0" applyNumberFormat="1" applyFont="1" applyFill="1" applyBorder="1" applyAlignment="1">
      <alignment horizontal="right" vertical="center"/>
    </xf>
    <xf numFmtId="3" fontId="3" fillId="34" borderId="28" xfId="0" applyNumberFormat="1" applyFont="1" applyFill="1" applyBorder="1" applyAlignment="1">
      <alignment horizontal="right" vertical="center"/>
    </xf>
    <xf numFmtId="3" fontId="3" fillId="34" borderId="29" xfId="0" applyNumberFormat="1" applyFont="1" applyFill="1" applyBorder="1" applyAlignment="1">
      <alignment horizontal="right" vertical="center"/>
    </xf>
    <xf numFmtId="3" fontId="3" fillId="34" borderId="30" xfId="0" applyNumberFormat="1" applyFont="1" applyFill="1" applyBorder="1" applyAlignment="1">
      <alignment horizontal="right" vertical="center"/>
    </xf>
    <xf numFmtId="3" fontId="5" fillId="34" borderId="30" xfId="0" applyNumberFormat="1" applyFont="1" applyFill="1" applyBorder="1" applyAlignment="1">
      <alignment horizontal="right" vertical="center"/>
    </xf>
    <xf numFmtId="3" fontId="3" fillId="34" borderId="31" xfId="0" applyNumberFormat="1" applyFont="1" applyFill="1" applyBorder="1" applyAlignment="1">
      <alignment horizontal="right" vertical="center"/>
    </xf>
    <xf numFmtId="0" fontId="3" fillId="0" borderId="24" xfId="0" applyFont="1" applyBorder="1" applyAlignment="1">
      <alignment horizontal="distributed" vertical="center"/>
    </xf>
    <xf numFmtId="0" fontId="3" fillId="0" borderId="26" xfId="0" applyFont="1" applyBorder="1" applyAlignment="1">
      <alignment horizontal="distributed" vertical="center"/>
    </xf>
    <xf numFmtId="0" fontId="5" fillId="0" borderId="26" xfId="0" applyFont="1" applyBorder="1" applyAlignment="1">
      <alignment horizontal="distributed" vertical="center"/>
    </xf>
    <xf numFmtId="0" fontId="3" fillId="0" borderId="32" xfId="0" applyFont="1" applyBorder="1" applyAlignment="1">
      <alignment horizontal="distributed" vertical="center"/>
    </xf>
    <xf numFmtId="3" fontId="3" fillId="33" borderId="33" xfId="0" applyNumberFormat="1" applyFont="1" applyFill="1" applyBorder="1" applyAlignment="1">
      <alignment horizontal="right" vertical="center"/>
    </xf>
    <xf numFmtId="3" fontId="3" fillId="34" borderId="34" xfId="0" applyNumberFormat="1" applyFont="1" applyFill="1" applyBorder="1" applyAlignment="1">
      <alignment horizontal="right" vertical="center"/>
    </xf>
    <xf numFmtId="3" fontId="3" fillId="34" borderId="35" xfId="0" applyNumberFormat="1" applyFont="1" applyFill="1" applyBorder="1" applyAlignment="1">
      <alignment horizontal="right" vertical="center"/>
    </xf>
    <xf numFmtId="3" fontId="5" fillId="33" borderId="36" xfId="0" applyNumberFormat="1" applyFont="1" applyFill="1" applyBorder="1" applyAlignment="1">
      <alignment horizontal="right" vertical="center"/>
    </xf>
    <xf numFmtId="3" fontId="5" fillId="34" borderId="37" xfId="0" applyNumberFormat="1" applyFont="1" applyFill="1" applyBorder="1" applyAlignment="1">
      <alignment horizontal="right" vertical="center"/>
    </xf>
    <xf numFmtId="3" fontId="5" fillId="34" borderId="38" xfId="0" applyNumberFormat="1" applyFont="1" applyFill="1" applyBorder="1" applyAlignment="1">
      <alignment horizontal="right" vertical="center"/>
    </xf>
    <xf numFmtId="0" fontId="5" fillId="0" borderId="39" xfId="0" applyFont="1" applyBorder="1" applyAlignment="1">
      <alignment horizontal="right" vertical="center"/>
    </xf>
    <xf numFmtId="3" fontId="3" fillId="33" borderId="40" xfId="0" applyNumberFormat="1" applyFont="1" applyFill="1" applyBorder="1" applyAlignment="1">
      <alignment horizontal="right" vertical="center"/>
    </xf>
    <xf numFmtId="3" fontId="3" fillId="33" borderId="41" xfId="0" applyNumberFormat="1" applyFont="1" applyFill="1" applyBorder="1" applyAlignment="1">
      <alignment horizontal="right" vertical="center"/>
    </xf>
    <xf numFmtId="3" fontId="3" fillId="34" borderId="32" xfId="0" applyNumberFormat="1" applyFont="1" applyFill="1" applyBorder="1" applyAlignment="1">
      <alignment horizontal="right" vertical="center"/>
    </xf>
    <xf numFmtId="3" fontId="3" fillId="34" borderId="42" xfId="0" applyNumberFormat="1" applyFont="1" applyFill="1" applyBorder="1" applyAlignment="1">
      <alignment horizontal="right" vertical="center"/>
    </xf>
    <xf numFmtId="0" fontId="3" fillId="0" borderId="43" xfId="0" applyFont="1" applyBorder="1" applyAlignment="1">
      <alignment horizontal="distributed" vertical="center"/>
    </xf>
    <xf numFmtId="3" fontId="3" fillId="33" borderId="44" xfId="0" applyNumberFormat="1" applyFont="1" applyFill="1" applyBorder="1" applyAlignment="1">
      <alignment horizontal="right" vertical="center"/>
    </xf>
    <xf numFmtId="3" fontId="3" fillId="34" borderId="43" xfId="0" applyNumberFormat="1" applyFont="1" applyFill="1" applyBorder="1" applyAlignment="1">
      <alignment horizontal="right" vertical="center"/>
    </xf>
    <xf numFmtId="3" fontId="3" fillId="34" borderId="45" xfId="0" applyNumberFormat="1" applyFont="1" applyFill="1" applyBorder="1" applyAlignment="1">
      <alignment horizontal="right" vertical="center"/>
    </xf>
    <xf numFmtId="0" fontId="6" fillId="34" borderId="10" xfId="0" applyFont="1" applyFill="1" applyBorder="1" applyAlignment="1">
      <alignment horizontal="right" vertical="top"/>
    </xf>
    <xf numFmtId="0" fontId="6" fillId="33" borderId="46" xfId="0" applyFont="1" applyFill="1" applyBorder="1" applyAlignment="1">
      <alignment horizontal="right" vertical="top"/>
    </xf>
    <xf numFmtId="3" fontId="3" fillId="0" borderId="13" xfId="0" applyNumberFormat="1" applyFont="1" applyBorder="1" applyAlignment="1">
      <alignment horizontal="center" vertical="center"/>
    </xf>
    <xf numFmtId="0" fontId="3" fillId="0" borderId="22" xfId="0" applyFont="1" applyBorder="1" applyAlignment="1">
      <alignment horizontal="center" vertical="center"/>
    </xf>
    <xf numFmtId="3" fontId="3" fillId="33" borderId="47" xfId="0" applyNumberFormat="1" applyFont="1" applyFill="1" applyBorder="1" applyAlignment="1">
      <alignment vertical="center"/>
    </xf>
    <xf numFmtId="3" fontId="3" fillId="33" borderId="25" xfId="0" applyNumberFormat="1" applyFont="1" applyFill="1" applyBorder="1" applyAlignment="1">
      <alignment vertical="center"/>
    </xf>
    <xf numFmtId="3" fontId="3" fillId="0" borderId="22" xfId="0" applyNumberFormat="1" applyFont="1" applyBorder="1" applyAlignment="1">
      <alignment horizontal="center" vertical="center"/>
    </xf>
    <xf numFmtId="0" fontId="3" fillId="0" borderId="48" xfId="0" applyFont="1" applyBorder="1" applyAlignment="1">
      <alignment horizontal="distributed" vertical="center"/>
    </xf>
    <xf numFmtId="3" fontId="3" fillId="33" borderId="49" xfId="0" applyNumberFormat="1" applyFont="1" applyFill="1" applyBorder="1" applyAlignment="1">
      <alignment horizontal="right" vertical="center"/>
    </xf>
    <xf numFmtId="3" fontId="3" fillId="34" borderId="48" xfId="0" applyNumberFormat="1" applyFont="1" applyFill="1" applyBorder="1" applyAlignment="1">
      <alignment horizontal="right" vertical="center"/>
    </xf>
    <xf numFmtId="3" fontId="3" fillId="34" borderId="50" xfId="0" applyNumberFormat="1" applyFont="1" applyFill="1" applyBorder="1" applyAlignment="1">
      <alignment horizontal="right" vertical="center"/>
    </xf>
    <xf numFmtId="0" fontId="6" fillId="0" borderId="51" xfId="0" applyFont="1" applyFill="1" applyBorder="1" applyAlignment="1">
      <alignment horizontal="center" vertical="center"/>
    </xf>
    <xf numFmtId="0" fontId="6" fillId="0" borderId="13" xfId="0" applyFont="1" applyFill="1" applyBorder="1" applyAlignment="1">
      <alignment horizontal="right" vertical="top"/>
    </xf>
    <xf numFmtId="0" fontId="6" fillId="34" borderId="21" xfId="0" applyFont="1" applyFill="1" applyBorder="1" applyAlignment="1">
      <alignment horizontal="right" vertical="top"/>
    </xf>
    <xf numFmtId="0" fontId="6" fillId="0" borderId="10" xfId="0" applyFont="1" applyFill="1" applyBorder="1" applyAlignment="1">
      <alignment horizontal="center" vertical="center"/>
    </xf>
    <xf numFmtId="3" fontId="3" fillId="33" borderId="52" xfId="0" applyNumberFormat="1" applyFont="1" applyFill="1" applyBorder="1" applyAlignment="1">
      <alignment horizontal="right" vertical="center"/>
    </xf>
    <xf numFmtId="0" fontId="3" fillId="0" borderId="51" xfId="0" applyFont="1" applyBorder="1" applyAlignment="1">
      <alignment horizontal="center" vertical="center"/>
    </xf>
    <xf numFmtId="0" fontId="6" fillId="33" borderId="13" xfId="0" applyFont="1" applyFill="1" applyBorder="1" applyAlignment="1">
      <alignment horizontal="right"/>
    </xf>
    <xf numFmtId="0" fontId="6" fillId="34" borderId="10" xfId="0" applyFont="1" applyFill="1" applyBorder="1" applyAlignment="1">
      <alignment horizontal="right"/>
    </xf>
    <xf numFmtId="0" fontId="6" fillId="34" borderId="21" xfId="0" applyFont="1" applyFill="1" applyBorder="1" applyAlignment="1">
      <alignment horizontal="right"/>
    </xf>
    <xf numFmtId="0" fontId="6" fillId="33" borderId="53" xfId="0" applyFont="1" applyFill="1" applyBorder="1" applyAlignment="1">
      <alignment horizontal="right"/>
    </xf>
    <xf numFmtId="0" fontId="6" fillId="33" borderId="54" xfId="0" applyFont="1" applyFill="1" applyBorder="1" applyAlignment="1">
      <alignment horizontal="right"/>
    </xf>
    <xf numFmtId="0" fontId="6" fillId="33" borderId="55" xfId="0" applyFont="1" applyFill="1" applyBorder="1" applyAlignment="1">
      <alignment horizontal="right"/>
    </xf>
    <xf numFmtId="0" fontId="6" fillId="33" borderId="56" xfId="0" applyFont="1" applyFill="1" applyBorder="1" applyAlignment="1">
      <alignment horizontal="right"/>
    </xf>
    <xf numFmtId="3" fontId="3" fillId="33" borderId="47" xfId="0" applyNumberFormat="1" applyFont="1" applyFill="1" applyBorder="1" applyAlignment="1">
      <alignment horizontal="right" vertical="center"/>
    </xf>
    <xf numFmtId="0" fontId="3" fillId="0" borderId="57" xfId="0" applyFont="1" applyBorder="1" applyAlignment="1">
      <alignment horizontal="left" vertical="top" wrapText="1"/>
    </xf>
    <xf numFmtId="0" fontId="4" fillId="0" borderId="0" xfId="0" applyFont="1" applyAlignment="1">
      <alignment horizontal="center" vertical="top"/>
    </xf>
    <xf numFmtId="0" fontId="3" fillId="0" borderId="24"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0" xfId="0" applyFont="1" applyBorder="1" applyAlignment="1">
      <alignment horizontal="left" vertical="top"/>
    </xf>
    <xf numFmtId="0" fontId="0" fillId="0" borderId="0" xfId="0" applyFont="1" applyAlignment="1">
      <alignment/>
    </xf>
    <xf numFmtId="0" fontId="3" fillId="0" borderId="0" xfId="0" applyFont="1" applyAlignment="1" quotePrefix="1">
      <alignment horizontal="left" vertical="top"/>
    </xf>
    <xf numFmtId="0" fontId="3" fillId="0" borderId="58" xfId="0" applyFont="1" applyBorder="1" applyAlignment="1">
      <alignment horizontal="distributed" vertical="center" indent="1"/>
    </xf>
    <xf numFmtId="0" fontId="3" fillId="0" borderId="0" xfId="60" applyFont="1" applyAlignment="1">
      <alignment horizontal="left" vertical="center"/>
      <protection/>
    </xf>
    <xf numFmtId="0" fontId="3" fillId="0" borderId="0" xfId="60" applyFont="1" applyAlignment="1">
      <alignment horizontal="left" vertical="top"/>
      <protection/>
    </xf>
    <xf numFmtId="0" fontId="0" fillId="0" borderId="0" xfId="60" applyFont="1">
      <alignment/>
      <protection/>
    </xf>
    <xf numFmtId="0" fontId="3" fillId="0" borderId="59" xfId="60" applyFont="1" applyBorder="1" applyAlignment="1">
      <alignment horizontal="center" vertical="center"/>
      <protection/>
    </xf>
    <xf numFmtId="0" fontId="3" fillId="0" borderId="60" xfId="60" applyFont="1" applyBorder="1" applyAlignment="1">
      <alignment horizontal="distributed" vertical="center" indent="1"/>
      <protection/>
    </xf>
    <xf numFmtId="0" fontId="3" fillId="0" borderId="60" xfId="60" applyFont="1" applyBorder="1" applyAlignment="1">
      <alignment horizontal="center" vertical="center"/>
      <protection/>
    </xf>
    <xf numFmtId="0" fontId="3" fillId="0" borderId="61" xfId="60" applyFont="1" applyBorder="1" applyAlignment="1">
      <alignment horizontal="center" vertical="center"/>
      <protection/>
    </xf>
    <xf numFmtId="0" fontId="3" fillId="0" borderId="61" xfId="60" applyFont="1" applyBorder="1" applyAlignment="1">
      <alignment horizontal="centerContinuous" vertical="center" wrapText="1"/>
      <protection/>
    </xf>
    <xf numFmtId="0" fontId="0" fillId="0" borderId="0" xfId="60" applyFont="1" applyAlignment="1">
      <alignment horizontal="center"/>
      <protection/>
    </xf>
    <xf numFmtId="0" fontId="6" fillId="35" borderId="51" xfId="60" applyFont="1" applyFill="1" applyBorder="1" applyAlignment="1">
      <alignment horizontal="distributed" vertical="top"/>
      <protection/>
    </xf>
    <xf numFmtId="0" fontId="6" fillId="33" borderId="13" xfId="60" applyFont="1" applyFill="1" applyBorder="1" applyAlignment="1">
      <alignment horizontal="right" vertical="top"/>
      <protection/>
    </xf>
    <xf numFmtId="0" fontId="6" fillId="34" borderId="10" xfId="60" applyFont="1" applyFill="1" applyBorder="1" applyAlignment="1">
      <alignment horizontal="right" vertical="top"/>
      <protection/>
    </xf>
    <xf numFmtId="0" fontId="6" fillId="34" borderId="62" xfId="60" applyFont="1" applyFill="1" applyBorder="1" applyAlignment="1">
      <alignment horizontal="right" vertical="top"/>
      <protection/>
    </xf>
    <xf numFmtId="0" fontId="6" fillId="35" borderId="56" xfId="60" applyFont="1" applyFill="1" applyBorder="1" applyAlignment="1">
      <alignment horizontal="distributed" vertical="top"/>
      <protection/>
    </xf>
    <xf numFmtId="0" fontId="7" fillId="0" borderId="0" xfId="60" applyFont="1" applyAlignment="1">
      <alignment horizontal="right" vertical="top"/>
      <protection/>
    </xf>
    <xf numFmtId="0" fontId="3" fillId="36" borderId="63" xfId="60" applyFont="1" applyFill="1" applyBorder="1" applyAlignment="1">
      <alignment horizontal="distributed" vertical="center"/>
      <protection/>
    </xf>
    <xf numFmtId="176" fontId="3" fillId="33" borderId="52" xfId="60" applyNumberFormat="1" applyFont="1" applyFill="1" applyBorder="1" applyAlignment="1">
      <alignment horizontal="right" vertical="center"/>
      <protection/>
    </xf>
    <xf numFmtId="176" fontId="3" fillId="34" borderId="48"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0" fontId="3" fillId="36" borderId="65" xfId="60" applyFont="1" applyFill="1" applyBorder="1" applyAlignment="1">
      <alignment horizontal="distributed" vertical="center"/>
      <protection/>
    </xf>
    <xf numFmtId="0" fontId="8" fillId="0" borderId="0" xfId="60" applyFont="1">
      <alignment/>
      <protection/>
    </xf>
    <xf numFmtId="0" fontId="3" fillId="36" borderId="66" xfId="60" applyFont="1" applyFill="1" applyBorder="1" applyAlignment="1">
      <alignment horizontal="distributed" vertical="center"/>
      <protection/>
    </xf>
    <xf numFmtId="176" fontId="3" fillId="33" borderId="67" xfId="60" applyNumberFormat="1" applyFont="1" applyFill="1" applyBorder="1" applyAlignment="1">
      <alignment horizontal="right" vertical="center"/>
      <protection/>
    </xf>
    <xf numFmtId="176" fontId="3" fillId="34" borderId="26"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0" fontId="3" fillId="36" borderId="69" xfId="60" applyFont="1" applyFill="1" applyBorder="1" applyAlignment="1">
      <alignment horizontal="distributed" vertical="center"/>
      <protection/>
    </xf>
    <xf numFmtId="0" fontId="5" fillId="36" borderId="70" xfId="60" applyFont="1" applyFill="1" applyBorder="1" applyAlignment="1">
      <alignment horizontal="distributed" vertical="center"/>
      <protection/>
    </xf>
    <xf numFmtId="176" fontId="5" fillId="33" borderId="71" xfId="60" applyNumberFormat="1" applyFont="1" applyFill="1" applyBorder="1" applyAlignment="1">
      <alignment horizontal="right" vertical="center"/>
      <protection/>
    </xf>
    <xf numFmtId="176" fontId="5" fillId="34" borderId="72" xfId="60" applyNumberFormat="1" applyFont="1" applyFill="1" applyBorder="1" applyAlignment="1">
      <alignment horizontal="right" vertical="center"/>
      <protection/>
    </xf>
    <xf numFmtId="176" fontId="5" fillId="34" borderId="73" xfId="60" applyNumberFormat="1" applyFont="1" applyFill="1" applyBorder="1" applyAlignment="1">
      <alignment horizontal="right" vertical="center"/>
      <protection/>
    </xf>
    <xf numFmtId="0" fontId="5" fillId="36" borderId="74" xfId="60" applyFont="1" applyFill="1" applyBorder="1" applyAlignment="1">
      <alignment horizontal="distributed" vertical="center"/>
      <protection/>
    </xf>
    <xf numFmtId="0" fontId="10" fillId="0" borderId="75" xfId="60" applyFont="1" applyFill="1" applyBorder="1" applyAlignment="1">
      <alignment horizontal="distributed" vertical="center"/>
      <protection/>
    </xf>
    <xf numFmtId="176" fontId="10" fillId="0" borderId="76" xfId="60" applyNumberFormat="1" applyFont="1" applyFill="1" applyBorder="1" applyAlignment="1">
      <alignment horizontal="right" vertical="center"/>
      <protection/>
    </xf>
    <xf numFmtId="176" fontId="10" fillId="0" borderId="77" xfId="60" applyNumberFormat="1" applyFont="1" applyFill="1" applyBorder="1" applyAlignment="1">
      <alignment horizontal="right" vertical="center"/>
      <protection/>
    </xf>
    <xf numFmtId="176" fontId="10" fillId="0" borderId="78" xfId="60" applyNumberFormat="1" applyFont="1" applyFill="1" applyBorder="1" applyAlignment="1">
      <alignment horizontal="right" vertical="center"/>
      <protection/>
    </xf>
    <xf numFmtId="0" fontId="10" fillId="0" borderId="79" xfId="60" applyFont="1" applyFill="1" applyBorder="1" applyAlignment="1">
      <alignment horizontal="center" vertical="center"/>
      <protection/>
    </xf>
    <xf numFmtId="0" fontId="3" fillId="36" borderId="80" xfId="60" applyFont="1" applyFill="1" applyBorder="1" applyAlignment="1">
      <alignment horizontal="distributed" vertical="center"/>
      <protection/>
    </xf>
    <xf numFmtId="0" fontId="10" fillId="0" borderId="81" xfId="60" applyFont="1" applyFill="1" applyBorder="1" applyAlignment="1">
      <alignment horizontal="distributed" vertical="center"/>
      <protection/>
    </xf>
    <xf numFmtId="176" fontId="3" fillId="0" borderId="82" xfId="60" applyNumberFormat="1" applyFont="1" applyFill="1" applyBorder="1" applyAlignment="1">
      <alignment horizontal="right" vertical="center"/>
      <protection/>
    </xf>
    <xf numFmtId="176" fontId="3" fillId="0" borderId="83" xfId="60" applyNumberFormat="1" applyFont="1" applyFill="1" applyBorder="1" applyAlignment="1">
      <alignment horizontal="right" vertical="center"/>
      <protection/>
    </xf>
    <xf numFmtId="176" fontId="3" fillId="0" borderId="84" xfId="60" applyNumberFormat="1" applyFont="1" applyFill="1" applyBorder="1" applyAlignment="1">
      <alignment horizontal="right" vertical="center"/>
      <protection/>
    </xf>
    <xf numFmtId="0" fontId="10" fillId="0" borderId="85" xfId="60" applyFont="1" applyFill="1" applyBorder="1" applyAlignment="1">
      <alignment horizontal="center" vertical="center"/>
      <protection/>
    </xf>
    <xf numFmtId="0" fontId="11" fillId="0" borderId="0" xfId="60" applyFont="1">
      <alignment/>
      <protection/>
    </xf>
    <xf numFmtId="0" fontId="5" fillId="0" borderId="86" xfId="60" applyFont="1" applyBorder="1" applyAlignment="1">
      <alignment horizontal="center" vertical="center"/>
      <protection/>
    </xf>
    <xf numFmtId="176" fontId="5" fillId="33" borderId="23" xfId="60" applyNumberFormat="1" applyFont="1" applyFill="1" applyBorder="1" applyAlignment="1">
      <alignment horizontal="right" vertical="center"/>
      <protection/>
    </xf>
    <xf numFmtId="176" fontId="5" fillId="34" borderId="34" xfId="60" applyNumberFormat="1" applyFont="1" applyFill="1" applyBorder="1" applyAlignment="1">
      <alignment horizontal="right" vertical="center"/>
      <protection/>
    </xf>
    <xf numFmtId="176" fontId="5" fillId="34" borderId="87" xfId="60" applyNumberFormat="1" applyFont="1" applyFill="1" applyBorder="1" applyAlignment="1">
      <alignment horizontal="right" vertical="center"/>
      <protection/>
    </xf>
    <xf numFmtId="0" fontId="5" fillId="0" borderId="16" xfId="60" applyFont="1" applyBorder="1" applyAlignment="1">
      <alignment horizontal="center" vertical="center"/>
      <protection/>
    </xf>
    <xf numFmtId="0" fontId="3" fillId="0" borderId="0" xfId="60" applyFont="1" applyBorder="1" applyAlignment="1">
      <alignment horizontal="left" vertical="center"/>
      <protection/>
    </xf>
    <xf numFmtId="0" fontId="0" fillId="0" borderId="0" xfId="60" applyFont="1" applyBorder="1">
      <alignment/>
      <protection/>
    </xf>
    <xf numFmtId="0" fontId="7" fillId="0" borderId="0" xfId="60" applyFont="1" applyAlignment="1">
      <alignment vertical="top"/>
      <protection/>
    </xf>
    <xf numFmtId="0" fontId="3" fillId="0" borderId="60" xfId="60" applyFont="1" applyBorder="1" applyAlignment="1">
      <alignment horizontal="center" vertical="center" wrapText="1"/>
      <protection/>
    </xf>
    <xf numFmtId="0" fontId="6" fillId="33" borderId="46" xfId="60" applyFont="1" applyFill="1" applyBorder="1" applyAlignment="1">
      <alignment horizontal="right" vertical="top"/>
      <protection/>
    </xf>
    <xf numFmtId="0" fontId="6" fillId="33" borderId="62" xfId="60" applyFont="1" applyFill="1" applyBorder="1" applyAlignment="1">
      <alignment horizontal="right" vertical="top"/>
      <protection/>
    </xf>
    <xf numFmtId="176" fontId="3" fillId="33" borderId="49" xfId="60" applyNumberFormat="1" applyFont="1" applyFill="1" applyBorder="1" applyAlignment="1">
      <alignment horizontal="right" vertical="center"/>
      <protection/>
    </xf>
    <xf numFmtId="176" fontId="3" fillId="33" borderId="64" xfId="60" applyNumberFormat="1" applyFont="1" applyFill="1" applyBorder="1" applyAlignment="1">
      <alignment horizontal="right" vertical="center"/>
      <protection/>
    </xf>
    <xf numFmtId="176" fontId="5" fillId="33" borderId="88" xfId="60" applyNumberFormat="1" applyFont="1" applyFill="1" applyBorder="1" applyAlignment="1">
      <alignment horizontal="right" vertical="center"/>
      <protection/>
    </xf>
    <xf numFmtId="176" fontId="5" fillId="33" borderId="73" xfId="60" applyNumberFormat="1" applyFont="1" applyFill="1" applyBorder="1" applyAlignment="1">
      <alignment horizontal="right" vertical="center"/>
      <protection/>
    </xf>
    <xf numFmtId="176" fontId="3" fillId="0" borderId="89" xfId="60" applyNumberFormat="1" applyFont="1" applyFill="1" applyBorder="1" applyAlignment="1">
      <alignment horizontal="right" vertical="center"/>
      <protection/>
    </xf>
    <xf numFmtId="176" fontId="3" fillId="0" borderId="90" xfId="60" applyNumberFormat="1" applyFont="1" applyFill="1" applyBorder="1" applyAlignment="1">
      <alignment horizontal="right" vertical="center"/>
      <protection/>
    </xf>
    <xf numFmtId="176" fontId="3" fillId="0" borderId="91" xfId="60" applyNumberFormat="1" applyFont="1" applyFill="1" applyBorder="1" applyAlignment="1">
      <alignment horizontal="right" vertical="center"/>
      <protection/>
    </xf>
    <xf numFmtId="0" fontId="10" fillId="0" borderId="92" xfId="60" applyFont="1" applyFill="1" applyBorder="1" applyAlignment="1">
      <alignment horizontal="center" vertical="center"/>
      <protection/>
    </xf>
    <xf numFmtId="176" fontId="3" fillId="0" borderId="93" xfId="60" applyNumberFormat="1" applyFont="1" applyFill="1" applyBorder="1" applyAlignment="1">
      <alignment horizontal="right" vertical="center"/>
      <protection/>
    </xf>
    <xf numFmtId="176" fontId="3" fillId="0" borderId="94" xfId="60" applyNumberFormat="1" applyFont="1" applyFill="1" applyBorder="1" applyAlignment="1">
      <alignment horizontal="right" vertical="center"/>
      <protection/>
    </xf>
    <xf numFmtId="176" fontId="3" fillId="0" borderId="95" xfId="60" applyNumberFormat="1" applyFont="1" applyFill="1" applyBorder="1" applyAlignment="1">
      <alignment horizontal="right" vertical="center"/>
      <protection/>
    </xf>
    <xf numFmtId="0" fontId="10" fillId="0" borderId="96" xfId="60" applyFont="1" applyFill="1" applyBorder="1" applyAlignment="1">
      <alignment horizontal="center" vertical="center"/>
      <protection/>
    </xf>
    <xf numFmtId="176" fontId="5" fillId="33" borderId="97" xfId="60" applyNumberFormat="1" applyFont="1" applyFill="1" applyBorder="1" applyAlignment="1">
      <alignment horizontal="right" vertical="center"/>
      <protection/>
    </xf>
    <xf numFmtId="176" fontId="5" fillId="33" borderId="98" xfId="60" applyNumberFormat="1" applyFont="1" applyFill="1" applyBorder="1" applyAlignment="1">
      <alignment horizontal="right" vertical="center"/>
      <protection/>
    </xf>
    <xf numFmtId="176" fontId="5" fillId="33" borderId="99" xfId="60" applyNumberFormat="1" applyFont="1" applyFill="1" applyBorder="1" applyAlignment="1">
      <alignment horizontal="right" vertical="center"/>
      <protection/>
    </xf>
    <xf numFmtId="0" fontId="5" fillId="0" borderId="100" xfId="60" applyFont="1" applyBorder="1" applyAlignment="1">
      <alignment horizontal="center" vertical="center"/>
      <protection/>
    </xf>
    <xf numFmtId="176" fontId="3" fillId="34" borderId="68" xfId="60" applyNumberFormat="1" applyFont="1" applyFill="1" applyBorder="1" applyAlignment="1">
      <alignment horizontal="right" vertical="center" shrinkToFit="1"/>
      <protection/>
    </xf>
    <xf numFmtId="176" fontId="5" fillId="34" borderId="73" xfId="60" applyNumberFormat="1" applyFont="1" applyFill="1" applyBorder="1" applyAlignment="1">
      <alignment horizontal="right" vertical="center" shrinkToFit="1"/>
      <protection/>
    </xf>
    <xf numFmtId="176" fontId="5" fillId="34" borderId="87" xfId="60" applyNumberFormat="1" applyFont="1" applyFill="1" applyBorder="1" applyAlignment="1">
      <alignment horizontal="right" vertical="center" shrinkToFit="1"/>
      <protection/>
    </xf>
    <xf numFmtId="0" fontId="3" fillId="0" borderId="0" xfId="0" applyFont="1" applyAlignment="1">
      <alignment horizontal="left" vertical="top" wrapText="1"/>
    </xf>
    <xf numFmtId="0" fontId="3" fillId="0" borderId="101" xfId="0" applyFont="1" applyBorder="1" applyAlignment="1">
      <alignment horizontal="distributed" vertical="center" wrapText="1"/>
    </xf>
    <xf numFmtId="0" fontId="3" fillId="0" borderId="101" xfId="0" applyFont="1" applyBorder="1" applyAlignment="1">
      <alignment horizontal="distributed" vertical="center"/>
    </xf>
    <xf numFmtId="0" fontId="3" fillId="0" borderId="102" xfId="0" applyFont="1" applyBorder="1" applyAlignment="1">
      <alignment horizontal="distributed" vertical="center"/>
    </xf>
    <xf numFmtId="0" fontId="3" fillId="0" borderId="103" xfId="0" applyFont="1" applyBorder="1" applyAlignment="1">
      <alignment horizontal="distributed" vertical="center" wrapText="1"/>
    </xf>
    <xf numFmtId="0" fontId="3" fillId="0" borderId="104" xfId="0" applyFont="1" applyBorder="1" applyAlignment="1">
      <alignment horizontal="distributed" vertical="center"/>
    </xf>
    <xf numFmtId="0" fontId="5" fillId="0" borderId="105" xfId="0" applyFont="1" applyBorder="1" applyAlignment="1">
      <alignment horizontal="distributed" vertical="center"/>
    </xf>
    <xf numFmtId="0" fontId="5" fillId="0" borderId="106" xfId="0" applyFont="1" applyBorder="1" applyAlignment="1">
      <alignment horizontal="distributed" vertical="center"/>
    </xf>
    <xf numFmtId="0" fontId="3" fillId="0" borderId="86" xfId="0" applyFont="1" applyBorder="1" applyAlignment="1">
      <alignment horizontal="distributed" vertical="center"/>
    </xf>
    <xf numFmtId="0" fontId="3" fillId="0" borderId="107" xfId="0" applyFont="1" applyBorder="1" applyAlignment="1">
      <alignment horizontal="distributed" vertical="center"/>
    </xf>
    <xf numFmtId="0" fontId="3" fillId="0" borderId="57" xfId="0" applyFont="1" applyBorder="1" applyAlignment="1">
      <alignment horizontal="left" vertical="top" wrapText="1"/>
    </xf>
    <xf numFmtId="0" fontId="4" fillId="0" borderId="0" xfId="0" applyFont="1" applyAlignment="1">
      <alignment horizontal="center" vertical="top"/>
    </xf>
    <xf numFmtId="0" fontId="3" fillId="0" borderId="0" xfId="0" applyFont="1" applyAlignment="1">
      <alignment horizontal="left" vertical="top"/>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3" xfId="0" applyFont="1" applyBorder="1" applyAlignment="1">
      <alignment horizontal="center" vertical="center"/>
    </xf>
    <xf numFmtId="0" fontId="3" fillId="0" borderId="46" xfId="0" applyFont="1" applyBorder="1" applyAlignment="1">
      <alignment horizontal="center" vertical="center"/>
    </xf>
    <xf numFmtId="0" fontId="3" fillId="0" borderId="116" xfId="0" applyFont="1" applyBorder="1" applyAlignment="1">
      <alignment horizontal="center" vertical="center"/>
    </xf>
    <xf numFmtId="0" fontId="3" fillId="0" borderId="57" xfId="0" applyFont="1" applyBorder="1" applyAlignment="1">
      <alignment horizontal="center" vertical="center"/>
    </xf>
    <xf numFmtId="0" fontId="3" fillId="0" borderId="117" xfId="0" applyFont="1" applyBorder="1" applyAlignment="1">
      <alignment horizontal="center" vertical="center"/>
    </xf>
    <xf numFmtId="0" fontId="3" fillId="0" borderId="103"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02" xfId="0" applyFont="1" applyBorder="1" applyAlignment="1">
      <alignment horizontal="center" vertical="center"/>
    </xf>
    <xf numFmtId="0" fontId="3" fillId="0" borderId="57" xfId="0" applyFont="1" applyBorder="1" applyAlignment="1">
      <alignment horizontal="left" vertical="center"/>
    </xf>
    <xf numFmtId="0" fontId="3" fillId="0" borderId="0" xfId="0" applyFont="1" applyAlignment="1">
      <alignment horizontal="left" vertical="center"/>
    </xf>
    <xf numFmtId="0" fontId="3" fillId="0" borderId="58" xfId="60" applyFont="1" applyBorder="1" applyAlignment="1">
      <alignment horizontal="distributed" vertical="center" wrapText="1"/>
      <protection/>
    </xf>
    <xf numFmtId="0" fontId="3" fillId="0" borderId="122" xfId="60" applyFont="1" applyBorder="1" applyAlignment="1">
      <alignment horizontal="distributed" vertical="center" wrapText="1"/>
      <protection/>
    </xf>
    <xf numFmtId="0" fontId="3" fillId="0" borderId="123" xfId="60" applyFont="1" applyBorder="1" applyAlignment="1">
      <alignment horizontal="distributed" vertical="center" wrapText="1"/>
      <protection/>
    </xf>
    <xf numFmtId="0" fontId="3" fillId="0" borderId="124"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26" xfId="60" applyFont="1" applyBorder="1" applyAlignment="1">
      <alignment horizontal="center" vertical="center"/>
      <protection/>
    </xf>
    <xf numFmtId="0" fontId="3" fillId="0" borderId="57" xfId="60" applyFont="1" applyBorder="1" applyAlignment="1">
      <alignment horizontal="left" vertical="center"/>
      <protection/>
    </xf>
    <xf numFmtId="0" fontId="3" fillId="0" borderId="127" xfId="60" applyFont="1" applyBorder="1" applyAlignment="1">
      <alignment horizontal="center" vertical="center"/>
      <protection/>
    </xf>
    <xf numFmtId="0" fontId="3" fillId="0" borderId="128" xfId="60" applyFont="1" applyBorder="1" applyAlignment="1">
      <alignment horizontal="center" vertical="center"/>
      <protection/>
    </xf>
    <xf numFmtId="0" fontId="3" fillId="0" borderId="129" xfId="60" applyFont="1" applyBorder="1" applyAlignment="1">
      <alignment horizontal="center" vertical="center"/>
      <protection/>
    </xf>
    <xf numFmtId="0" fontId="3" fillId="0" borderId="0" xfId="60" applyFont="1" applyAlignment="1">
      <alignment horizontal="left" vertical="center"/>
      <protection/>
    </xf>
    <xf numFmtId="0" fontId="3" fillId="0" borderId="108" xfId="60" applyFont="1" applyBorder="1" applyAlignment="1">
      <alignment horizontal="distributed" vertical="center"/>
      <protection/>
    </xf>
    <xf numFmtId="0" fontId="3" fillId="0" borderId="110" xfId="60" applyFont="1" applyBorder="1" applyAlignment="1">
      <alignment horizontal="distributed" vertical="center"/>
      <protection/>
    </xf>
    <xf numFmtId="0" fontId="3" fillId="0" borderId="130" xfId="60" applyFont="1" applyBorder="1" applyAlignment="1">
      <alignment horizontal="distributed" vertical="center"/>
      <protection/>
    </xf>
    <xf numFmtId="0" fontId="3" fillId="0" borderId="131" xfId="60" applyFont="1" applyBorder="1" applyAlignment="1">
      <alignment horizontal="center" vertical="center"/>
      <protection/>
    </xf>
    <xf numFmtId="0" fontId="3" fillId="0" borderId="127" xfId="60" applyFont="1" applyBorder="1" applyAlignment="1">
      <alignment horizontal="center" vertical="center" wrapText="1"/>
      <protection/>
    </xf>
    <xf numFmtId="0" fontId="3" fillId="0" borderId="132" xfId="60" applyFont="1" applyBorder="1" applyAlignment="1">
      <alignment horizontal="left" vertical="center"/>
      <protection/>
    </xf>
    <xf numFmtId="0" fontId="3" fillId="0" borderId="133" xfId="60" applyFont="1" applyBorder="1" applyAlignment="1">
      <alignment horizontal="center" vertical="center"/>
      <protection/>
    </xf>
    <xf numFmtId="0" fontId="3" fillId="0" borderId="134" xfId="60" applyFont="1" applyBorder="1" applyAlignment="1">
      <alignment horizontal="center" vertical="center"/>
      <protection/>
    </xf>
    <xf numFmtId="0" fontId="12" fillId="0" borderId="135" xfId="60" applyFont="1" applyBorder="1" applyAlignment="1">
      <alignment horizontal="distributed" vertical="center" wrapText="1"/>
      <protection/>
    </xf>
    <xf numFmtId="0" fontId="47" fillId="0" borderId="136" xfId="61" applyFont="1" applyBorder="1" applyAlignment="1">
      <alignment horizontal="distributed" vertical="center"/>
      <protection/>
    </xf>
    <xf numFmtId="0" fontId="12" fillId="0" borderId="137" xfId="60" applyFont="1" applyBorder="1" applyAlignment="1">
      <alignment horizontal="distributed" vertical="center" wrapText="1"/>
      <protection/>
    </xf>
    <xf numFmtId="0" fontId="12" fillId="0" borderId="138" xfId="60" applyFont="1" applyBorder="1" applyAlignment="1">
      <alignment horizontal="distributed" vertical="center"/>
      <protection/>
    </xf>
    <xf numFmtId="0" fontId="12" fillId="0" borderId="139" xfId="60" applyFont="1" applyBorder="1" applyAlignment="1">
      <alignment horizontal="distributed" vertical="center" wrapText="1"/>
      <protection/>
    </xf>
    <xf numFmtId="0" fontId="12" fillId="0" borderId="140" xfId="60" applyFont="1" applyBorder="1" applyAlignment="1">
      <alignment horizontal="distributed" vertical="center" wrapText="1"/>
      <protection/>
    </xf>
    <xf numFmtId="0" fontId="3" fillId="0" borderId="61" xfId="60" applyFont="1" applyBorder="1" applyAlignment="1">
      <alignment horizontal="center" vertical="center"/>
      <protection/>
    </xf>
    <xf numFmtId="0" fontId="3" fillId="0" borderId="131" xfId="60"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71" t="s">
        <v>0</v>
      </c>
      <c r="B1" s="171"/>
      <c r="C1" s="171"/>
      <c r="D1" s="171"/>
      <c r="E1" s="171"/>
      <c r="F1" s="171"/>
      <c r="G1" s="171"/>
      <c r="H1" s="171"/>
      <c r="I1" s="171"/>
      <c r="J1" s="171"/>
      <c r="K1" s="171"/>
    </row>
    <row r="2" spans="1:11" ht="15">
      <c r="A2" s="80"/>
      <c r="B2" s="80"/>
      <c r="C2" s="80"/>
      <c r="D2" s="80"/>
      <c r="E2" s="80"/>
      <c r="F2" s="80"/>
      <c r="G2" s="80"/>
      <c r="H2" s="80"/>
      <c r="I2" s="80"/>
      <c r="J2" s="80"/>
      <c r="K2" s="80"/>
    </row>
    <row r="3" spans="1:11" ht="12" thickBot="1">
      <c r="A3" s="172" t="s">
        <v>29</v>
      </c>
      <c r="B3" s="172"/>
      <c r="C3" s="172"/>
      <c r="D3" s="172"/>
      <c r="E3" s="172"/>
      <c r="F3" s="172"/>
      <c r="G3" s="172"/>
      <c r="H3" s="172"/>
      <c r="I3" s="172"/>
      <c r="J3" s="172"/>
      <c r="K3" s="172"/>
    </row>
    <row r="4" spans="1:11" ht="24" customHeight="1">
      <c r="A4" s="173" t="s">
        <v>1</v>
      </c>
      <c r="B4" s="174"/>
      <c r="C4" s="177" t="s">
        <v>15</v>
      </c>
      <c r="D4" s="178"/>
      <c r="E4" s="179"/>
      <c r="F4" s="177" t="s">
        <v>16</v>
      </c>
      <c r="G4" s="178"/>
      <c r="H4" s="179"/>
      <c r="I4" s="177" t="s">
        <v>17</v>
      </c>
      <c r="J4" s="178"/>
      <c r="K4" s="180"/>
    </row>
    <row r="5" spans="1:11" ht="24" customHeight="1">
      <c r="A5" s="175"/>
      <c r="B5" s="176"/>
      <c r="C5" s="181" t="s">
        <v>2</v>
      </c>
      <c r="D5" s="182"/>
      <c r="E5" s="6" t="s">
        <v>3</v>
      </c>
      <c r="F5" s="181" t="s">
        <v>2</v>
      </c>
      <c r="G5" s="182"/>
      <c r="H5" s="6" t="s">
        <v>3</v>
      </c>
      <c r="I5" s="181" t="s">
        <v>2</v>
      </c>
      <c r="J5" s="182"/>
      <c r="K5" s="18" t="s">
        <v>3</v>
      </c>
    </row>
    <row r="6" spans="1:11" ht="12" customHeight="1">
      <c r="A6" s="65"/>
      <c r="B6" s="68"/>
      <c r="C6" s="66"/>
      <c r="D6" s="55" t="s">
        <v>31</v>
      </c>
      <c r="E6" s="54" t="s">
        <v>30</v>
      </c>
      <c r="F6" s="66"/>
      <c r="G6" s="55" t="s">
        <v>31</v>
      </c>
      <c r="H6" s="54" t="s">
        <v>30</v>
      </c>
      <c r="I6" s="66"/>
      <c r="J6" s="55" t="s">
        <v>31</v>
      </c>
      <c r="K6" s="67" t="s">
        <v>30</v>
      </c>
    </row>
    <row r="7" spans="1:11" ht="30" customHeight="1">
      <c r="A7" s="161" t="s">
        <v>32</v>
      </c>
      <c r="B7" s="61" t="s">
        <v>18</v>
      </c>
      <c r="C7" s="19"/>
      <c r="D7" s="62">
        <v>53276</v>
      </c>
      <c r="E7" s="63">
        <v>21469527</v>
      </c>
      <c r="F7" s="22"/>
      <c r="G7" s="62">
        <v>162637</v>
      </c>
      <c r="H7" s="63">
        <v>685139796</v>
      </c>
      <c r="I7" s="22"/>
      <c r="J7" s="62">
        <v>215913</v>
      </c>
      <c r="K7" s="64">
        <v>706609324</v>
      </c>
    </row>
    <row r="8" spans="1:11" ht="30" customHeight="1">
      <c r="A8" s="162"/>
      <c r="B8" s="36" t="s">
        <v>19</v>
      </c>
      <c r="C8" s="19"/>
      <c r="D8" s="25">
        <v>101588</v>
      </c>
      <c r="E8" s="26">
        <v>25855622</v>
      </c>
      <c r="F8" s="22"/>
      <c r="G8" s="25">
        <v>80945</v>
      </c>
      <c r="H8" s="26">
        <v>29760506</v>
      </c>
      <c r="I8" s="22"/>
      <c r="J8" s="25">
        <v>182533</v>
      </c>
      <c r="K8" s="32">
        <v>55616128</v>
      </c>
    </row>
    <row r="9" spans="1:11" s="3" customFormat="1" ht="30" customHeight="1">
      <c r="A9" s="162"/>
      <c r="B9" s="37" t="s">
        <v>20</v>
      </c>
      <c r="C9" s="20"/>
      <c r="D9" s="27">
        <v>154864</v>
      </c>
      <c r="E9" s="28">
        <v>47325149</v>
      </c>
      <c r="F9" s="20"/>
      <c r="G9" s="27">
        <v>243582</v>
      </c>
      <c r="H9" s="28">
        <v>714900303</v>
      </c>
      <c r="I9" s="20"/>
      <c r="J9" s="27">
        <v>398446</v>
      </c>
      <c r="K9" s="33">
        <v>762225451</v>
      </c>
    </row>
    <row r="10" spans="1:11" ht="30" customHeight="1">
      <c r="A10" s="163"/>
      <c r="B10" s="38" t="s">
        <v>21</v>
      </c>
      <c r="C10" s="19"/>
      <c r="D10" s="29">
        <v>3358</v>
      </c>
      <c r="E10" s="30">
        <v>1678378</v>
      </c>
      <c r="F10" s="19"/>
      <c r="G10" s="29">
        <v>9239</v>
      </c>
      <c r="H10" s="30">
        <v>47702366</v>
      </c>
      <c r="I10" s="19"/>
      <c r="J10" s="29">
        <v>12597</v>
      </c>
      <c r="K10" s="34">
        <v>49380744</v>
      </c>
    </row>
    <row r="11" spans="1:11" ht="30" customHeight="1">
      <c r="A11" s="164" t="s">
        <v>33</v>
      </c>
      <c r="B11" s="81" t="s">
        <v>22</v>
      </c>
      <c r="C11" s="9"/>
      <c r="D11" s="78">
        <v>11026</v>
      </c>
      <c r="E11" s="24">
        <v>1844499</v>
      </c>
      <c r="F11" s="56"/>
      <c r="G11" s="58">
        <v>13005</v>
      </c>
      <c r="H11" s="24">
        <v>2775222</v>
      </c>
      <c r="I11" s="56"/>
      <c r="J11" s="58">
        <v>24031</v>
      </c>
      <c r="K11" s="31">
        <v>4619720</v>
      </c>
    </row>
    <row r="12" spans="1:11" ht="30" customHeight="1">
      <c r="A12" s="165"/>
      <c r="B12" s="82" t="s">
        <v>23</v>
      </c>
      <c r="C12" s="57"/>
      <c r="D12" s="25">
        <v>1240</v>
      </c>
      <c r="E12" s="26">
        <v>211834</v>
      </c>
      <c r="F12" s="60"/>
      <c r="G12" s="59">
        <v>1556</v>
      </c>
      <c r="H12" s="26">
        <v>14928826</v>
      </c>
      <c r="I12" s="60"/>
      <c r="J12" s="59">
        <v>2796</v>
      </c>
      <c r="K12" s="32">
        <v>15140660</v>
      </c>
    </row>
    <row r="13" spans="1:11" s="3" customFormat="1" ht="30" customHeight="1">
      <c r="A13" s="166" t="s">
        <v>6</v>
      </c>
      <c r="B13" s="167"/>
      <c r="C13" s="45" t="s">
        <v>14</v>
      </c>
      <c r="D13" s="42">
        <v>163877</v>
      </c>
      <c r="E13" s="43">
        <v>47279435</v>
      </c>
      <c r="F13" s="45" t="s">
        <v>14</v>
      </c>
      <c r="G13" s="42">
        <v>254847</v>
      </c>
      <c r="H13" s="43">
        <v>655044332</v>
      </c>
      <c r="I13" s="45" t="s">
        <v>14</v>
      </c>
      <c r="J13" s="42">
        <v>418724</v>
      </c>
      <c r="K13" s="44">
        <v>702323767</v>
      </c>
    </row>
    <row r="14" spans="1:11" ht="30" customHeight="1" thickBot="1">
      <c r="A14" s="168" t="s">
        <v>7</v>
      </c>
      <c r="B14" s="169"/>
      <c r="C14" s="21"/>
      <c r="D14" s="39">
        <v>10668</v>
      </c>
      <c r="E14" s="40">
        <v>366869</v>
      </c>
      <c r="F14" s="23"/>
      <c r="G14" s="39">
        <v>9597</v>
      </c>
      <c r="H14" s="40">
        <v>535525</v>
      </c>
      <c r="I14" s="23"/>
      <c r="J14" s="39">
        <v>20265</v>
      </c>
      <c r="K14" s="41">
        <v>902394</v>
      </c>
    </row>
    <row r="15" spans="1:11" s="4" customFormat="1" ht="37.5" customHeight="1">
      <c r="A15" s="79" t="s">
        <v>35</v>
      </c>
      <c r="B15" s="170" t="s">
        <v>162</v>
      </c>
      <c r="C15" s="170"/>
      <c r="D15" s="170"/>
      <c r="E15" s="170"/>
      <c r="F15" s="170"/>
      <c r="G15" s="170"/>
      <c r="H15" s="170"/>
      <c r="I15" s="170"/>
      <c r="J15" s="170"/>
      <c r="K15" s="170"/>
    </row>
    <row r="16" spans="2:11" ht="45" customHeight="1">
      <c r="B16" s="160" t="s">
        <v>163</v>
      </c>
      <c r="C16" s="160"/>
      <c r="D16" s="160"/>
      <c r="E16" s="160"/>
      <c r="F16" s="160"/>
      <c r="G16" s="160"/>
      <c r="H16" s="160"/>
      <c r="I16" s="160"/>
      <c r="J16" s="160"/>
      <c r="K16" s="160"/>
    </row>
    <row r="17" spans="1:2" ht="14.25" customHeight="1">
      <c r="A17" s="1" t="s">
        <v>38</v>
      </c>
      <c r="B17" s="1" t="s">
        <v>39</v>
      </c>
    </row>
    <row r="18" spans="1:2" ht="11.25">
      <c r="A18" s="85" t="s">
        <v>40</v>
      </c>
      <c r="B18" s="1" t="s">
        <v>41</v>
      </c>
    </row>
  </sheetData>
  <sheetProtection/>
  <mergeCells count="15">
    <mergeCell ref="A1:K1"/>
    <mergeCell ref="A3:K3"/>
    <mergeCell ref="A4:B5"/>
    <mergeCell ref="C4:E4"/>
    <mergeCell ref="F4:H4"/>
    <mergeCell ref="I4:K4"/>
    <mergeCell ref="C5:D5"/>
    <mergeCell ref="F5:G5"/>
    <mergeCell ref="I5:J5"/>
    <mergeCell ref="B16:K16"/>
    <mergeCell ref="A7:A10"/>
    <mergeCell ref="A11:A12"/>
    <mergeCell ref="A13:B13"/>
    <mergeCell ref="A14:B14"/>
    <mergeCell ref="B15:K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173" t="s">
        <v>1</v>
      </c>
      <c r="B2" s="174"/>
      <c r="C2" s="183" t="s">
        <v>15</v>
      </c>
      <c r="D2" s="183"/>
      <c r="E2" s="183" t="s">
        <v>24</v>
      </c>
      <c r="F2" s="183"/>
      <c r="G2" s="184" t="s">
        <v>25</v>
      </c>
      <c r="H2" s="185"/>
    </row>
    <row r="3" spans="1:8" s="1" customFormat="1" ht="15" customHeight="1">
      <c r="A3" s="175"/>
      <c r="B3" s="176"/>
      <c r="C3" s="9" t="s">
        <v>26</v>
      </c>
      <c r="D3" s="6" t="s">
        <v>27</v>
      </c>
      <c r="E3" s="9" t="s">
        <v>26</v>
      </c>
      <c r="F3" s="7" t="s">
        <v>27</v>
      </c>
      <c r="G3" s="9" t="s">
        <v>26</v>
      </c>
      <c r="H3" s="8" t="s">
        <v>27</v>
      </c>
    </row>
    <row r="4" spans="1:8" s="10" customFormat="1" ht="15" customHeight="1">
      <c r="A4" s="70"/>
      <c r="B4" s="6"/>
      <c r="C4" s="71" t="s">
        <v>4</v>
      </c>
      <c r="D4" s="72" t="s">
        <v>5</v>
      </c>
      <c r="E4" s="71" t="s">
        <v>4</v>
      </c>
      <c r="F4" s="72" t="s">
        <v>5</v>
      </c>
      <c r="G4" s="71" t="s">
        <v>4</v>
      </c>
      <c r="H4" s="73" t="s">
        <v>5</v>
      </c>
    </row>
    <row r="5" spans="1:8" s="83" customFormat="1" ht="30" customHeight="1">
      <c r="A5" s="188" t="s">
        <v>164</v>
      </c>
      <c r="B5" s="61" t="s">
        <v>12</v>
      </c>
      <c r="C5" s="69">
        <v>192326</v>
      </c>
      <c r="D5" s="63">
        <v>56337606</v>
      </c>
      <c r="E5" s="69">
        <v>260307</v>
      </c>
      <c r="F5" s="63">
        <v>747457040</v>
      </c>
      <c r="G5" s="69">
        <v>452633</v>
      </c>
      <c r="H5" s="64">
        <v>803794646</v>
      </c>
    </row>
    <row r="6" spans="1:8" s="83" customFormat="1" ht="30" customHeight="1">
      <c r="A6" s="189"/>
      <c r="B6" s="38" t="s">
        <v>13</v>
      </c>
      <c r="C6" s="47">
        <v>4654</v>
      </c>
      <c r="D6" s="48">
        <v>3892519</v>
      </c>
      <c r="E6" s="47">
        <v>10553</v>
      </c>
      <c r="F6" s="48">
        <v>68756884</v>
      </c>
      <c r="G6" s="47">
        <v>15207</v>
      </c>
      <c r="H6" s="49">
        <v>72649403</v>
      </c>
    </row>
    <row r="7" spans="1:8" s="83" customFormat="1" ht="30" customHeight="1">
      <c r="A7" s="190" t="s">
        <v>36</v>
      </c>
      <c r="B7" s="35" t="s">
        <v>12</v>
      </c>
      <c r="C7" s="46">
        <v>189262</v>
      </c>
      <c r="D7" s="24">
        <v>52109130</v>
      </c>
      <c r="E7" s="46">
        <v>258138</v>
      </c>
      <c r="F7" s="24">
        <v>727510099</v>
      </c>
      <c r="G7" s="46">
        <v>447400</v>
      </c>
      <c r="H7" s="31">
        <v>779619229</v>
      </c>
    </row>
    <row r="8" spans="1:8" s="83" customFormat="1" ht="30" customHeight="1">
      <c r="A8" s="191"/>
      <c r="B8" s="38" t="s">
        <v>13</v>
      </c>
      <c r="C8" s="47">
        <v>4843</v>
      </c>
      <c r="D8" s="48">
        <v>3931892</v>
      </c>
      <c r="E8" s="47">
        <v>10347</v>
      </c>
      <c r="F8" s="48">
        <v>45033535</v>
      </c>
      <c r="G8" s="47">
        <v>15190</v>
      </c>
      <c r="H8" s="49">
        <v>48965426</v>
      </c>
    </row>
    <row r="9" spans="1:8" s="83" customFormat="1" ht="30" customHeight="1">
      <c r="A9" s="186" t="s">
        <v>37</v>
      </c>
      <c r="B9" s="35" t="s">
        <v>12</v>
      </c>
      <c r="C9" s="46">
        <v>180059</v>
      </c>
      <c r="D9" s="24">
        <v>50344418</v>
      </c>
      <c r="E9" s="46">
        <v>252610</v>
      </c>
      <c r="F9" s="24">
        <v>715052639</v>
      </c>
      <c r="G9" s="46">
        <v>432669</v>
      </c>
      <c r="H9" s="31">
        <v>765397057</v>
      </c>
    </row>
    <row r="10" spans="1:8" s="83" customFormat="1" ht="30" customHeight="1">
      <c r="A10" s="189"/>
      <c r="B10" s="38" t="s">
        <v>13</v>
      </c>
      <c r="C10" s="47">
        <v>3935</v>
      </c>
      <c r="D10" s="48">
        <v>2582616</v>
      </c>
      <c r="E10" s="47">
        <v>9896</v>
      </c>
      <c r="F10" s="48">
        <v>50431758</v>
      </c>
      <c r="G10" s="47">
        <v>13831</v>
      </c>
      <c r="H10" s="49">
        <v>53014374</v>
      </c>
    </row>
    <row r="11" spans="1:8" s="83" customFormat="1" ht="30" customHeight="1">
      <c r="A11" s="186" t="s">
        <v>42</v>
      </c>
      <c r="B11" s="35" t="s">
        <v>12</v>
      </c>
      <c r="C11" s="46">
        <v>161653</v>
      </c>
      <c r="D11" s="24">
        <v>47588245</v>
      </c>
      <c r="E11" s="46">
        <v>247081</v>
      </c>
      <c r="F11" s="24">
        <v>713005917</v>
      </c>
      <c r="G11" s="46">
        <v>408734</v>
      </c>
      <c r="H11" s="31">
        <v>760594162</v>
      </c>
    </row>
    <row r="12" spans="1:8" s="83" customFormat="1" ht="30" customHeight="1">
      <c r="A12" s="189"/>
      <c r="B12" s="38" t="s">
        <v>13</v>
      </c>
      <c r="C12" s="47">
        <v>3599</v>
      </c>
      <c r="D12" s="48">
        <v>1816607</v>
      </c>
      <c r="E12" s="47">
        <v>9339</v>
      </c>
      <c r="F12" s="48">
        <v>47610584</v>
      </c>
      <c r="G12" s="47">
        <v>12938</v>
      </c>
      <c r="H12" s="49">
        <v>49427191</v>
      </c>
    </row>
    <row r="13" spans="1:8" s="1" customFormat="1" ht="30" customHeight="1">
      <c r="A13" s="186" t="s">
        <v>165</v>
      </c>
      <c r="B13" s="35" t="s">
        <v>12</v>
      </c>
      <c r="C13" s="46">
        <v>154864</v>
      </c>
      <c r="D13" s="24">
        <v>47325149</v>
      </c>
      <c r="E13" s="46">
        <v>243582</v>
      </c>
      <c r="F13" s="24">
        <v>714900303</v>
      </c>
      <c r="G13" s="46">
        <v>398446</v>
      </c>
      <c r="H13" s="31">
        <v>762225451</v>
      </c>
    </row>
    <row r="14" spans="1:8" s="1" customFormat="1" ht="30" customHeight="1" thickBot="1">
      <c r="A14" s="187"/>
      <c r="B14" s="50" t="s">
        <v>13</v>
      </c>
      <c r="C14" s="51">
        <v>3358</v>
      </c>
      <c r="D14" s="52">
        <v>1678378</v>
      </c>
      <c r="E14" s="51">
        <v>9239</v>
      </c>
      <c r="F14" s="52">
        <v>47702366</v>
      </c>
      <c r="G14" s="51">
        <v>12597</v>
      </c>
      <c r="H14" s="53">
        <v>49380744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6" t="s">
        <v>10</v>
      </c>
      <c r="D2" s="86" t="s">
        <v>43</v>
      </c>
    </row>
    <row r="3" spans="1:4" s="10" customFormat="1" ht="15" customHeight="1">
      <c r="A3" s="74" t="s">
        <v>4</v>
      </c>
      <c r="B3" s="75" t="s">
        <v>4</v>
      </c>
      <c r="C3" s="76" t="s">
        <v>4</v>
      </c>
      <c r="D3" s="77" t="s">
        <v>4</v>
      </c>
    </row>
    <row r="4" spans="1:9" s="4" customFormat="1" ht="30" customHeight="1" thickBot="1">
      <c r="A4" s="11">
        <v>420661</v>
      </c>
      <c r="B4" s="12">
        <v>8419</v>
      </c>
      <c r="C4" s="17">
        <v>902</v>
      </c>
      <c r="D4" s="13">
        <v>429982</v>
      </c>
      <c r="E4" s="5"/>
      <c r="G4" s="5"/>
      <c r="I4" s="5"/>
    </row>
    <row r="5" spans="1:4" s="4" customFormat="1" ht="15" customHeight="1">
      <c r="A5" s="192" t="s">
        <v>166</v>
      </c>
      <c r="B5" s="192"/>
      <c r="C5" s="192"/>
      <c r="D5" s="192"/>
    </row>
    <row r="6" spans="1:4" s="4" customFormat="1" ht="15" customHeight="1">
      <c r="A6" s="193" t="s">
        <v>11</v>
      </c>
      <c r="B6" s="193"/>
      <c r="C6" s="193"/>
      <c r="D6" s="19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消費税
(H24)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97"/>
  <sheetViews>
    <sheetView zoomScale="85" zoomScaleNormal="85" zoomScalePageLayoutView="0" workbookViewId="0" topLeftCell="A1">
      <selection activeCell="A1" sqref="A1"/>
    </sheetView>
  </sheetViews>
  <sheetFormatPr defaultColWidth="9.00390625" defaultRowHeight="13.5"/>
  <cols>
    <col min="1" max="1" width="11.37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4" ht="13.5">
      <c r="A1" s="87" t="s">
        <v>44</v>
      </c>
      <c r="B1" s="87"/>
      <c r="C1" s="87"/>
      <c r="D1" s="87"/>
      <c r="E1" s="87"/>
      <c r="F1" s="87"/>
      <c r="G1" s="87"/>
      <c r="H1" s="88"/>
      <c r="I1" s="88"/>
      <c r="J1" s="88"/>
      <c r="K1" s="88"/>
      <c r="L1" s="88"/>
      <c r="M1" s="88"/>
      <c r="N1" s="88"/>
    </row>
    <row r="2" spans="1:14" ht="14.25" thickBot="1">
      <c r="A2" s="204" t="s">
        <v>45</v>
      </c>
      <c r="B2" s="204"/>
      <c r="C2" s="204"/>
      <c r="D2" s="204"/>
      <c r="E2" s="204"/>
      <c r="F2" s="204"/>
      <c r="G2" s="204"/>
      <c r="H2" s="88"/>
      <c r="I2" s="88"/>
      <c r="J2" s="88"/>
      <c r="K2" s="88"/>
      <c r="L2" s="88"/>
      <c r="M2" s="88"/>
      <c r="N2" s="88"/>
    </row>
    <row r="3" spans="1:14" ht="19.5" customHeight="1">
      <c r="A3" s="205" t="s">
        <v>46</v>
      </c>
      <c r="B3" s="208" t="s">
        <v>47</v>
      </c>
      <c r="C3" s="208"/>
      <c r="D3" s="208"/>
      <c r="E3" s="208"/>
      <c r="F3" s="208"/>
      <c r="G3" s="208"/>
      <c r="H3" s="201" t="s">
        <v>13</v>
      </c>
      <c r="I3" s="202"/>
      <c r="J3" s="209" t="s">
        <v>48</v>
      </c>
      <c r="K3" s="202"/>
      <c r="L3" s="201" t="s">
        <v>49</v>
      </c>
      <c r="M3" s="202"/>
      <c r="N3" s="194" t="s">
        <v>50</v>
      </c>
    </row>
    <row r="4" spans="1:14" ht="17.25" customHeight="1">
      <c r="A4" s="206"/>
      <c r="B4" s="197" t="s">
        <v>18</v>
      </c>
      <c r="C4" s="197"/>
      <c r="D4" s="198" t="s">
        <v>51</v>
      </c>
      <c r="E4" s="199"/>
      <c r="F4" s="198" t="s">
        <v>52</v>
      </c>
      <c r="G4" s="199"/>
      <c r="H4" s="198"/>
      <c r="I4" s="203"/>
      <c r="J4" s="198"/>
      <c r="K4" s="203"/>
      <c r="L4" s="198"/>
      <c r="M4" s="203"/>
      <c r="N4" s="195"/>
    </row>
    <row r="5" spans="1:14" s="95" customFormat="1" ht="28.5" customHeight="1">
      <c r="A5" s="207"/>
      <c r="B5" s="90" t="s">
        <v>53</v>
      </c>
      <c r="C5" s="91" t="s">
        <v>54</v>
      </c>
      <c r="D5" s="90" t="s">
        <v>53</v>
      </c>
      <c r="E5" s="91" t="s">
        <v>54</v>
      </c>
      <c r="F5" s="90" t="s">
        <v>53</v>
      </c>
      <c r="G5" s="92" t="s">
        <v>55</v>
      </c>
      <c r="H5" s="90" t="s">
        <v>53</v>
      </c>
      <c r="I5" s="93" t="s">
        <v>56</v>
      </c>
      <c r="J5" s="90" t="s">
        <v>53</v>
      </c>
      <c r="K5" s="93" t="s">
        <v>57</v>
      </c>
      <c r="L5" s="90" t="s">
        <v>53</v>
      </c>
      <c r="M5" s="94" t="s">
        <v>58</v>
      </c>
      <c r="N5" s="196"/>
    </row>
    <row r="6" spans="1:14" s="101"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s="107" customFormat="1" ht="15.75" customHeight="1">
      <c r="A7" s="102" t="s">
        <v>59</v>
      </c>
      <c r="B7" s="103">
        <f>_xlfn.COMPOUNDVALUE(1)</f>
        <v>1793</v>
      </c>
      <c r="C7" s="104">
        <v>735422</v>
      </c>
      <c r="D7" s="103">
        <f>_xlfn.COMPOUNDVALUE(2)</f>
        <v>2801</v>
      </c>
      <c r="E7" s="104">
        <v>759005</v>
      </c>
      <c r="F7" s="103">
        <f>_xlfn.COMPOUNDVALUE(3)</f>
        <v>4594</v>
      </c>
      <c r="G7" s="104">
        <v>1494427</v>
      </c>
      <c r="H7" s="103">
        <f>_xlfn.COMPOUNDVALUE(4)</f>
        <v>118</v>
      </c>
      <c r="I7" s="105">
        <v>37631</v>
      </c>
      <c r="J7" s="103">
        <v>372</v>
      </c>
      <c r="K7" s="105">
        <v>84118</v>
      </c>
      <c r="L7" s="103">
        <v>4874</v>
      </c>
      <c r="M7" s="105">
        <v>1540915</v>
      </c>
      <c r="N7" s="106" t="s">
        <v>59</v>
      </c>
    </row>
    <row r="8" spans="1:14" s="107" customFormat="1" ht="15.75" customHeight="1">
      <c r="A8" s="108" t="s">
        <v>60</v>
      </c>
      <c r="B8" s="109">
        <f>_xlfn.COMPOUNDVALUE(5)</f>
        <v>794</v>
      </c>
      <c r="C8" s="110">
        <v>373297</v>
      </c>
      <c r="D8" s="109">
        <f>_xlfn.COMPOUNDVALUE(6)</f>
        <v>1254</v>
      </c>
      <c r="E8" s="110">
        <v>353832</v>
      </c>
      <c r="F8" s="109">
        <f>_xlfn.COMPOUNDVALUE(7)</f>
        <v>2048</v>
      </c>
      <c r="G8" s="110">
        <v>727129</v>
      </c>
      <c r="H8" s="109">
        <f>_xlfn.COMPOUNDVALUE(8)</f>
        <v>66</v>
      </c>
      <c r="I8" s="111">
        <v>25629</v>
      </c>
      <c r="J8" s="109">
        <v>186</v>
      </c>
      <c r="K8" s="111">
        <v>21966</v>
      </c>
      <c r="L8" s="109">
        <v>2189</v>
      </c>
      <c r="M8" s="111">
        <v>723466</v>
      </c>
      <c r="N8" s="112" t="s">
        <v>60</v>
      </c>
    </row>
    <row r="9" spans="1:14" s="107" customFormat="1" ht="15.75" customHeight="1">
      <c r="A9" s="108" t="s">
        <v>61</v>
      </c>
      <c r="B9" s="109">
        <f>_xlfn.COMPOUNDVALUE(9)</f>
        <v>1722</v>
      </c>
      <c r="C9" s="110">
        <v>702127</v>
      </c>
      <c r="D9" s="109">
        <f>_xlfn.COMPOUNDVALUE(10)</f>
        <v>2558</v>
      </c>
      <c r="E9" s="110">
        <v>664694</v>
      </c>
      <c r="F9" s="109">
        <f>_xlfn.COMPOUNDVALUE(11)</f>
        <v>4280</v>
      </c>
      <c r="G9" s="110">
        <v>1366821</v>
      </c>
      <c r="H9" s="109">
        <f>_xlfn.COMPOUNDVALUE(12)</f>
        <v>133</v>
      </c>
      <c r="I9" s="111">
        <v>94864</v>
      </c>
      <c r="J9" s="109">
        <v>366</v>
      </c>
      <c r="K9" s="111">
        <v>37339</v>
      </c>
      <c r="L9" s="109">
        <v>4629</v>
      </c>
      <c r="M9" s="111">
        <v>1309296</v>
      </c>
      <c r="N9" s="112" t="s">
        <v>61</v>
      </c>
    </row>
    <row r="10" spans="1:14" s="107" customFormat="1" ht="15.75" customHeight="1">
      <c r="A10" s="108" t="s">
        <v>62</v>
      </c>
      <c r="B10" s="109">
        <f>_xlfn.COMPOUNDVALUE(13)</f>
        <v>879</v>
      </c>
      <c r="C10" s="110">
        <v>308058</v>
      </c>
      <c r="D10" s="109">
        <f>_xlfn.COMPOUNDVALUE(14)</f>
        <v>2211</v>
      </c>
      <c r="E10" s="110">
        <v>507297</v>
      </c>
      <c r="F10" s="109">
        <f>_xlfn.COMPOUNDVALUE(15)</f>
        <v>3090</v>
      </c>
      <c r="G10" s="110">
        <v>815356</v>
      </c>
      <c r="H10" s="109">
        <f>_xlfn.COMPOUNDVALUE(16)</f>
        <v>56</v>
      </c>
      <c r="I10" s="111">
        <v>16259</v>
      </c>
      <c r="J10" s="109">
        <v>124</v>
      </c>
      <c r="K10" s="111">
        <v>16135</v>
      </c>
      <c r="L10" s="109">
        <v>3202</v>
      </c>
      <c r="M10" s="111">
        <v>815232</v>
      </c>
      <c r="N10" s="112" t="s">
        <v>62</v>
      </c>
    </row>
    <row r="11" spans="1:14" s="107" customFormat="1" ht="15.75" customHeight="1">
      <c r="A11" s="108" t="s">
        <v>63</v>
      </c>
      <c r="B11" s="109">
        <f>_xlfn.COMPOUNDVALUE(17)</f>
        <v>1345</v>
      </c>
      <c r="C11" s="110">
        <v>530017</v>
      </c>
      <c r="D11" s="109">
        <f>_xlfn.COMPOUNDVALUE(18)</f>
        <v>2699</v>
      </c>
      <c r="E11" s="110">
        <v>666213</v>
      </c>
      <c r="F11" s="109">
        <f>_xlfn.COMPOUNDVALUE(19)</f>
        <v>4044</v>
      </c>
      <c r="G11" s="110">
        <v>1196231</v>
      </c>
      <c r="H11" s="109">
        <f>_xlfn.COMPOUNDVALUE(20)</f>
        <v>88</v>
      </c>
      <c r="I11" s="111">
        <v>31157</v>
      </c>
      <c r="J11" s="109">
        <v>242</v>
      </c>
      <c r="K11" s="111">
        <v>34871</v>
      </c>
      <c r="L11" s="109">
        <v>4212</v>
      </c>
      <c r="M11" s="111">
        <v>1199945</v>
      </c>
      <c r="N11" s="112" t="s">
        <v>63</v>
      </c>
    </row>
    <row r="12" spans="1:14" s="107" customFormat="1" ht="15.75" customHeight="1">
      <c r="A12" s="108" t="s">
        <v>64</v>
      </c>
      <c r="B12" s="109">
        <f>_xlfn.COMPOUNDVALUE(21)</f>
        <v>1228</v>
      </c>
      <c r="C12" s="110">
        <v>753400</v>
      </c>
      <c r="D12" s="109">
        <f>_xlfn.COMPOUNDVALUE(22)</f>
        <v>1851</v>
      </c>
      <c r="E12" s="110">
        <v>499418</v>
      </c>
      <c r="F12" s="109">
        <f>_xlfn.COMPOUNDVALUE(23)</f>
        <v>3079</v>
      </c>
      <c r="G12" s="110">
        <v>1252818</v>
      </c>
      <c r="H12" s="109">
        <f>_xlfn.COMPOUNDVALUE(24)</f>
        <v>75</v>
      </c>
      <c r="I12" s="111">
        <v>28926</v>
      </c>
      <c r="J12" s="109">
        <v>409</v>
      </c>
      <c r="K12" s="111">
        <v>67101</v>
      </c>
      <c r="L12" s="109">
        <v>3408</v>
      </c>
      <c r="M12" s="111">
        <v>1290993</v>
      </c>
      <c r="N12" s="112" t="s">
        <v>65</v>
      </c>
    </row>
    <row r="13" spans="1:14" s="107" customFormat="1" ht="15.75" customHeight="1">
      <c r="A13" s="108" t="s">
        <v>66</v>
      </c>
      <c r="B13" s="109">
        <f>_xlfn.COMPOUNDVALUE(25)</f>
        <v>1206</v>
      </c>
      <c r="C13" s="110">
        <v>462359</v>
      </c>
      <c r="D13" s="109">
        <f>_xlfn.COMPOUNDVALUE(26)</f>
        <v>1858</v>
      </c>
      <c r="E13" s="110">
        <v>499806</v>
      </c>
      <c r="F13" s="109">
        <f>_xlfn.COMPOUNDVALUE(27)</f>
        <v>3064</v>
      </c>
      <c r="G13" s="110">
        <v>962165</v>
      </c>
      <c r="H13" s="109">
        <f>_xlfn.COMPOUNDVALUE(28)</f>
        <v>58</v>
      </c>
      <c r="I13" s="111">
        <v>28797</v>
      </c>
      <c r="J13" s="109">
        <v>236</v>
      </c>
      <c r="K13" s="111">
        <v>30790</v>
      </c>
      <c r="L13" s="109">
        <v>3252</v>
      </c>
      <c r="M13" s="111">
        <v>964158</v>
      </c>
      <c r="N13" s="112" t="s">
        <v>66</v>
      </c>
    </row>
    <row r="14" spans="1:14" s="107" customFormat="1" ht="15.75" customHeight="1">
      <c r="A14" s="108" t="s">
        <v>67</v>
      </c>
      <c r="B14" s="109">
        <f>_xlfn.COMPOUNDVALUE(29)</f>
        <v>1535</v>
      </c>
      <c r="C14" s="110">
        <v>701441</v>
      </c>
      <c r="D14" s="109">
        <f>_xlfn.COMPOUNDVALUE(30)</f>
        <v>3187</v>
      </c>
      <c r="E14" s="110">
        <v>811297</v>
      </c>
      <c r="F14" s="109">
        <f>_xlfn.COMPOUNDVALUE(31)</f>
        <v>4722</v>
      </c>
      <c r="G14" s="110">
        <v>1512738</v>
      </c>
      <c r="H14" s="109">
        <f>_xlfn.COMPOUNDVALUE(32)</f>
        <v>98</v>
      </c>
      <c r="I14" s="111">
        <v>44850</v>
      </c>
      <c r="J14" s="109">
        <v>230</v>
      </c>
      <c r="K14" s="111">
        <v>67880</v>
      </c>
      <c r="L14" s="109">
        <v>4939</v>
      </c>
      <c r="M14" s="111">
        <v>1535768</v>
      </c>
      <c r="N14" s="112" t="s">
        <v>67</v>
      </c>
    </row>
    <row r="15" spans="1:14" s="107" customFormat="1" ht="15.75" customHeight="1">
      <c r="A15" s="113" t="s">
        <v>68</v>
      </c>
      <c r="B15" s="114">
        <v>10502</v>
      </c>
      <c r="C15" s="115">
        <v>4566123</v>
      </c>
      <c r="D15" s="114">
        <v>18419</v>
      </c>
      <c r="E15" s="115">
        <v>4761562</v>
      </c>
      <c r="F15" s="114">
        <v>28921</v>
      </c>
      <c r="G15" s="115">
        <v>9327685</v>
      </c>
      <c r="H15" s="114">
        <v>692</v>
      </c>
      <c r="I15" s="116">
        <v>308112</v>
      </c>
      <c r="J15" s="114">
        <v>2165</v>
      </c>
      <c r="K15" s="116">
        <v>360200</v>
      </c>
      <c r="L15" s="114">
        <v>30705</v>
      </c>
      <c r="M15" s="116">
        <v>9379772</v>
      </c>
      <c r="N15" s="117" t="s">
        <v>69</v>
      </c>
    </row>
    <row r="16" spans="1:14" s="107" customFormat="1" ht="15.75" customHeight="1">
      <c r="A16" s="118"/>
      <c r="B16" s="119"/>
      <c r="C16" s="120"/>
      <c r="D16" s="119"/>
      <c r="E16" s="120"/>
      <c r="F16" s="121"/>
      <c r="G16" s="120"/>
      <c r="H16" s="121"/>
      <c r="I16" s="120"/>
      <c r="J16" s="121"/>
      <c r="K16" s="120"/>
      <c r="L16" s="121"/>
      <c r="M16" s="120"/>
      <c r="N16" s="122"/>
    </row>
    <row r="17" spans="1:14" s="107" customFormat="1" ht="15.75" customHeight="1">
      <c r="A17" s="102" t="s">
        <v>70</v>
      </c>
      <c r="B17" s="103">
        <f>_xlfn.COMPOUNDVALUE(33)</f>
        <v>1204</v>
      </c>
      <c r="C17" s="104">
        <v>487922</v>
      </c>
      <c r="D17" s="103">
        <f>_xlfn.COMPOUNDVALUE(34)</f>
        <v>2292</v>
      </c>
      <c r="E17" s="104">
        <v>613899</v>
      </c>
      <c r="F17" s="103">
        <f>_xlfn.COMPOUNDVALUE(35)</f>
        <v>3496</v>
      </c>
      <c r="G17" s="104">
        <v>1101820</v>
      </c>
      <c r="H17" s="103">
        <f>_xlfn.COMPOUNDVALUE(36)</f>
        <v>84</v>
      </c>
      <c r="I17" s="105">
        <v>32397</v>
      </c>
      <c r="J17" s="103">
        <v>272</v>
      </c>
      <c r="K17" s="105">
        <v>53127</v>
      </c>
      <c r="L17" s="103">
        <v>3726</v>
      </c>
      <c r="M17" s="105">
        <v>1122551</v>
      </c>
      <c r="N17" s="123" t="s">
        <v>70</v>
      </c>
    </row>
    <row r="18" spans="1:14" s="107" customFormat="1" ht="15.75" customHeight="1">
      <c r="A18" s="108" t="s">
        <v>71</v>
      </c>
      <c r="B18" s="109">
        <f>_xlfn.COMPOUNDVALUE(37)</f>
        <v>454</v>
      </c>
      <c r="C18" s="110">
        <v>164082</v>
      </c>
      <c r="D18" s="109">
        <f>_xlfn.COMPOUNDVALUE(38)</f>
        <v>803</v>
      </c>
      <c r="E18" s="110">
        <v>196423</v>
      </c>
      <c r="F18" s="109">
        <f>_xlfn.COMPOUNDVALUE(39)</f>
        <v>1257</v>
      </c>
      <c r="G18" s="110">
        <v>360504</v>
      </c>
      <c r="H18" s="109">
        <f>_xlfn.COMPOUNDVALUE(40)</f>
        <v>30</v>
      </c>
      <c r="I18" s="111">
        <v>12710</v>
      </c>
      <c r="J18" s="109">
        <v>123</v>
      </c>
      <c r="K18" s="111">
        <v>26471</v>
      </c>
      <c r="L18" s="109">
        <v>1335</v>
      </c>
      <c r="M18" s="111">
        <v>374266</v>
      </c>
      <c r="N18" s="112" t="s">
        <v>71</v>
      </c>
    </row>
    <row r="19" spans="1:14" s="107" customFormat="1" ht="15.75" customHeight="1">
      <c r="A19" s="108" t="s">
        <v>72</v>
      </c>
      <c r="B19" s="109">
        <f>_xlfn.COMPOUNDVALUE(41)</f>
        <v>1265</v>
      </c>
      <c r="C19" s="110">
        <v>462702</v>
      </c>
      <c r="D19" s="109">
        <f>_xlfn.COMPOUNDVALUE(42)</f>
        <v>2499</v>
      </c>
      <c r="E19" s="110">
        <v>590929</v>
      </c>
      <c r="F19" s="109">
        <f>_xlfn.COMPOUNDVALUE(43)</f>
        <v>3764</v>
      </c>
      <c r="G19" s="110">
        <v>1053631</v>
      </c>
      <c r="H19" s="109">
        <f>_xlfn.COMPOUNDVALUE(44)</f>
        <v>102</v>
      </c>
      <c r="I19" s="111">
        <v>50126</v>
      </c>
      <c r="J19" s="109">
        <v>278</v>
      </c>
      <c r="K19" s="111">
        <v>41189</v>
      </c>
      <c r="L19" s="109">
        <v>3975</v>
      </c>
      <c r="M19" s="111">
        <v>1044694</v>
      </c>
      <c r="N19" s="112" t="s">
        <v>72</v>
      </c>
    </row>
    <row r="20" spans="1:14" s="107" customFormat="1" ht="15.75" customHeight="1">
      <c r="A20" s="108" t="s">
        <v>73</v>
      </c>
      <c r="B20" s="109">
        <f>_xlfn.COMPOUNDVALUE(45)</f>
        <v>405</v>
      </c>
      <c r="C20" s="110">
        <v>123449</v>
      </c>
      <c r="D20" s="109">
        <f>_xlfn.COMPOUNDVALUE(46)</f>
        <v>716</v>
      </c>
      <c r="E20" s="110">
        <v>175561</v>
      </c>
      <c r="F20" s="109">
        <f>_xlfn.COMPOUNDVALUE(47)</f>
        <v>1121</v>
      </c>
      <c r="G20" s="110">
        <v>299010</v>
      </c>
      <c r="H20" s="109">
        <f>_xlfn.COMPOUNDVALUE(48)</f>
        <v>32</v>
      </c>
      <c r="I20" s="111">
        <v>6205</v>
      </c>
      <c r="J20" s="109">
        <v>43</v>
      </c>
      <c r="K20" s="111">
        <v>2773</v>
      </c>
      <c r="L20" s="109">
        <v>1162</v>
      </c>
      <c r="M20" s="111">
        <v>295578</v>
      </c>
      <c r="N20" s="112" t="s">
        <v>73</v>
      </c>
    </row>
    <row r="21" spans="1:14" s="107" customFormat="1" ht="15.75" customHeight="1">
      <c r="A21" s="108" t="s">
        <v>74</v>
      </c>
      <c r="B21" s="109">
        <f>_xlfn.COMPOUNDVALUE(49)</f>
        <v>531</v>
      </c>
      <c r="C21" s="110">
        <v>168347</v>
      </c>
      <c r="D21" s="109">
        <f>_xlfn.COMPOUNDVALUE(34)</f>
        <v>1128</v>
      </c>
      <c r="E21" s="110">
        <v>265641</v>
      </c>
      <c r="F21" s="109">
        <f>_xlfn.COMPOUNDVALUE(50)</f>
        <v>1659</v>
      </c>
      <c r="G21" s="110">
        <v>433988</v>
      </c>
      <c r="H21" s="109">
        <f>_xlfn.COMPOUNDVALUE(51)</f>
        <v>62</v>
      </c>
      <c r="I21" s="111">
        <v>13443</v>
      </c>
      <c r="J21" s="109">
        <v>130</v>
      </c>
      <c r="K21" s="111">
        <v>13548</v>
      </c>
      <c r="L21" s="109">
        <v>1780</v>
      </c>
      <c r="M21" s="111">
        <v>434093</v>
      </c>
      <c r="N21" s="112" t="s">
        <v>74</v>
      </c>
    </row>
    <row r="22" spans="1:14" s="107" customFormat="1" ht="15.75" customHeight="1">
      <c r="A22" s="108" t="s">
        <v>75</v>
      </c>
      <c r="B22" s="109">
        <f>_xlfn.COMPOUNDVALUE(52)</f>
        <v>465</v>
      </c>
      <c r="C22" s="110">
        <v>152975</v>
      </c>
      <c r="D22" s="109">
        <f>_xlfn.COMPOUNDVALUE(53)</f>
        <v>1164</v>
      </c>
      <c r="E22" s="110">
        <v>274265</v>
      </c>
      <c r="F22" s="109">
        <f>_xlfn.COMPOUNDVALUE(54)</f>
        <v>1629</v>
      </c>
      <c r="G22" s="110">
        <v>427240</v>
      </c>
      <c r="H22" s="109">
        <f>_xlfn.COMPOUNDVALUE(55)</f>
        <v>29</v>
      </c>
      <c r="I22" s="111">
        <v>6563</v>
      </c>
      <c r="J22" s="109">
        <v>74</v>
      </c>
      <c r="K22" s="111">
        <v>8123</v>
      </c>
      <c r="L22" s="109">
        <v>1697</v>
      </c>
      <c r="M22" s="111">
        <v>428800</v>
      </c>
      <c r="N22" s="112" t="s">
        <v>75</v>
      </c>
    </row>
    <row r="23" spans="1:14" s="107" customFormat="1" ht="15.75" customHeight="1">
      <c r="A23" s="108" t="s">
        <v>76</v>
      </c>
      <c r="B23" s="109">
        <f>_xlfn.COMPOUNDVALUE(56)</f>
        <v>811</v>
      </c>
      <c r="C23" s="110">
        <v>279920</v>
      </c>
      <c r="D23" s="109">
        <f>_xlfn.COMPOUNDVALUE(57)</f>
        <v>1670</v>
      </c>
      <c r="E23" s="110">
        <v>416320</v>
      </c>
      <c r="F23" s="109">
        <f>_xlfn.COMPOUNDVALUE(58)</f>
        <v>2481</v>
      </c>
      <c r="G23" s="110">
        <v>696240</v>
      </c>
      <c r="H23" s="109">
        <f>_xlfn.COMPOUNDVALUE(59)</f>
        <v>75</v>
      </c>
      <c r="I23" s="111">
        <v>36004</v>
      </c>
      <c r="J23" s="109">
        <v>67</v>
      </c>
      <c r="K23" s="111">
        <v>4920</v>
      </c>
      <c r="L23" s="109">
        <v>2582</v>
      </c>
      <c r="M23" s="111">
        <v>665155</v>
      </c>
      <c r="N23" s="112" t="s">
        <v>76</v>
      </c>
    </row>
    <row r="24" spans="1:14" s="107" customFormat="1" ht="15.75" customHeight="1">
      <c r="A24" s="108" t="s">
        <v>77</v>
      </c>
      <c r="B24" s="109">
        <f>_xlfn.COMPOUNDVALUE(60)</f>
        <v>454</v>
      </c>
      <c r="C24" s="110">
        <v>164271</v>
      </c>
      <c r="D24" s="109">
        <f>_xlfn.COMPOUNDVALUE(53)</f>
        <v>1077</v>
      </c>
      <c r="E24" s="110">
        <v>251652</v>
      </c>
      <c r="F24" s="109">
        <f>_xlfn.COMPOUNDVALUE(61)</f>
        <v>1531</v>
      </c>
      <c r="G24" s="110">
        <v>415923</v>
      </c>
      <c r="H24" s="109">
        <f>_xlfn.COMPOUNDVALUE(62)</f>
        <v>56</v>
      </c>
      <c r="I24" s="111">
        <v>48668</v>
      </c>
      <c r="J24" s="109">
        <v>151</v>
      </c>
      <c r="K24" s="111">
        <v>11443</v>
      </c>
      <c r="L24" s="109">
        <v>1642</v>
      </c>
      <c r="M24" s="111">
        <v>378698</v>
      </c>
      <c r="N24" s="112" t="s">
        <v>77</v>
      </c>
    </row>
    <row r="25" spans="1:14" s="107" customFormat="1" ht="15.75" customHeight="1">
      <c r="A25" s="113" t="s">
        <v>78</v>
      </c>
      <c r="B25" s="114">
        <v>5589</v>
      </c>
      <c r="C25" s="115">
        <v>2003667</v>
      </c>
      <c r="D25" s="114">
        <v>11349</v>
      </c>
      <c r="E25" s="115">
        <v>2784689</v>
      </c>
      <c r="F25" s="114">
        <v>16938</v>
      </c>
      <c r="G25" s="115">
        <v>4788356</v>
      </c>
      <c r="H25" s="114">
        <v>470</v>
      </c>
      <c r="I25" s="116">
        <v>206115</v>
      </c>
      <c r="J25" s="114">
        <v>1138</v>
      </c>
      <c r="K25" s="116">
        <v>161594</v>
      </c>
      <c r="L25" s="114">
        <v>17899</v>
      </c>
      <c r="M25" s="116">
        <v>4743835</v>
      </c>
      <c r="N25" s="117" t="s">
        <v>79</v>
      </c>
    </row>
    <row r="26" spans="1:14" s="107" customFormat="1" ht="15.75" customHeight="1">
      <c r="A26" s="118"/>
      <c r="B26" s="119"/>
      <c r="C26" s="120"/>
      <c r="D26" s="119"/>
      <c r="E26" s="120"/>
      <c r="F26" s="121"/>
      <c r="G26" s="120"/>
      <c r="H26" s="121"/>
      <c r="I26" s="120"/>
      <c r="J26" s="121"/>
      <c r="K26" s="120"/>
      <c r="L26" s="121"/>
      <c r="M26" s="120"/>
      <c r="N26" s="122"/>
    </row>
    <row r="27" spans="1:14" s="107" customFormat="1" ht="15.75" customHeight="1">
      <c r="A27" s="102" t="s">
        <v>80</v>
      </c>
      <c r="B27" s="103">
        <f>_xlfn.COMPOUNDVALUE(63)</f>
        <v>1104</v>
      </c>
      <c r="C27" s="104">
        <v>358602</v>
      </c>
      <c r="D27" s="103">
        <f>_xlfn.COMPOUNDVALUE(64)</f>
        <v>1694</v>
      </c>
      <c r="E27" s="104">
        <v>423483</v>
      </c>
      <c r="F27" s="103">
        <f>_xlfn.COMPOUNDVALUE(65)</f>
        <v>2798</v>
      </c>
      <c r="G27" s="104">
        <v>782085</v>
      </c>
      <c r="H27" s="103">
        <f>_xlfn.COMPOUNDVALUE(66)</f>
        <v>87</v>
      </c>
      <c r="I27" s="105">
        <v>42632</v>
      </c>
      <c r="J27" s="103">
        <v>249</v>
      </c>
      <c r="K27" s="105">
        <v>19368</v>
      </c>
      <c r="L27" s="103">
        <v>3020</v>
      </c>
      <c r="M27" s="105">
        <v>758821</v>
      </c>
      <c r="N27" s="123" t="s">
        <v>80</v>
      </c>
    </row>
    <row r="28" spans="1:14" s="107" customFormat="1" ht="15.75" customHeight="1">
      <c r="A28" s="102" t="s">
        <v>81</v>
      </c>
      <c r="B28" s="103">
        <f>_xlfn.COMPOUNDVALUE(67)</f>
        <v>1538</v>
      </c>
      <c r="C28" s="104">
        <v>578370</v>
      </c>
      <c r="D28" s="103">
        <f>_xlfn.COMPOUNDVALUE(68)</f>
        <v>2652</v>
      </c>
      <c r="E28" s="104">
        <v>651401</v>
      </c>
      <c r="F28" s="103">
        <f>_xlfn.COMPOUNDVALUE(69)</f>
        <v>4190</v>
      </c>
      <c r="G28" s="104">
        <v>1229772</v>
      </c>
      <c r="H28" s="103">
        <f>_xlfn.COMPOUNDVALUE(70)</f>
        <v>98</v>
      </c>
      <c r="I28" s="105">
        <v>31862</v>
      </c>
      <c r="J28" s="103">
        <v>254</v>
      </c>
      <c r="K28" s="105">
        <v>16364</v>
      </c>
      <c r="L28" s="103">
        <v>4399</v>
      </c>
      <c r="M28" s="105">
        <v>1214273</v>
      </c>
      <c r="N28" s="106" t="s">
        <v>81</v>
      </c>
    </row>
    <row r="29" spans="1:14" s="107" customFormat="1" ht="15.75" customHeight="1">
      <c r="A29" s="108" t="s">
        <v>82</v>
      </c>
      <c r="B29" s="109">
        <f>_xlfn.COMPOUNDVALUE(71)</f>
        <v>691</v>
      </c>
      <c r="C29" s="110">
        <v>245408</v>
      </c>
      <c r="D29" s="109">
        <f>_xlfn.COMPOUNDVALUE(72)</f>
        <v>1185</v>
      </c>
      <c r="E29" s="110">
        <v>287965</v>
      </c>
      <c r="F29" s="109">
        <f>_xlfn.COMPOUNDVALUE(73)</f>
        <v>1876</v>
      </c>
      <c r="G29" s="110">
        <v>533373</v>
      </c>
      <c r="H29" s="109">
        <f>_xlfn.COMPOUNDVALUE(74)</f>
        <v>36</v>
      </c>
      <c r="I29" s="111">
        <v>14186</v>
      </c>
      <c r="J29" s="109">
        <v>108</v>
      </c>
      <c r="K29" s="111">
        <v>16011</v>
      </c>
      <c r="L29" s="109">
        <v>1952</v>
      </c>
      <c r="M29" s="111">
        <v>535198</v>
      </c>
      <c r="N29" s="112" t="s">
        <v>82</v>
      </c>
    </row>
    <row r="30" spans="1:14" s="107" customFormat="1" ht="15.75" customHeight="1">
      <c r="A30" s="108" t="s">
        <v>83</v>
      </c>
      <c r="B30" s="109">
        <f>_xlfn.COMPOUNDVALUE(75)</f>
        <v>739</v>
      </c>
      <c r="C30" s="110">
        <v>296292</v>
      </c>
      <c r="D30" s="109">
        <f>_xlfn.COMPOUNDVALUE(76)</f>
        <v>1343</v>
      </c>
      <c r="E30" s="110">
        <v>316778</v>
      </c>
      <c r="F30" s="109">
        <f>_xlfn.COMPOUNDVALUE(77)</f>
        <v>2082</v>
      </c>
      <c r="G30" s="110">
        <v>613070</v>
      </c>
      <c r="H30" s="109">
        <f>_xlfn.COMPOUNDVALUE(78)</f>
        <v>37</v>
      </c>
      <c r="I30" s="111">
        <v>21191</v>
      </c>
      <c r="J30" s="109">
        <v>115</v>
      </c>
      <c r="K30" s="111">
        <v>26224</v>
      </c>
      <c r="L30" s="109">
        <v>2205</v>
      </c>
      <c r="M30" s="111">
        <v>618103</v>
      </c>
      <c r="N30" s="112" t="s">
        <v>83</v>
      </c>
    </row>
    <row r="31" spans="1:14" s="107" customFormat="1" ht="15.75" customHeight="1">
      <c r="A31" s="108" t="s">
        <v>84</v>
      </c>
      <c r="B31" s="109">
        <f>_xlfn.COMPOUNDVALUE(79)</f>
        <v>437</v>
      </c>
      <c r="C31" s="110">
        <v>205035</v>
      </c>
      <c r="D31" s="109">
        <f>_xlfn.COMPOUNDVALUE(80)</f>
        <v>1016</v>
      </c>
      <c r="E31" s="110">
        <v>252817</v>
      </c>
      <c r="F31" s="109">
        <f>_xlfn.COMPOUNDVALUE(81)</f>
        <v>1453</v>
      </c>
      <c r="G31" s="110">
        <v>457851</v>
      </c>
      <c r="H31" s="109">
        <f>_xlfn.COMPOUNDVALUE(82)</f>
        <v>17</v>
      </c>
      <c r="I31" s="111">
        <v>2286</v>
      </c>
      <c r="J31" s="109">
        <v>93</v>
      </c>
      <c r="K31" s="111">
        <v>12461</v>
      </c>
      <c r="L31" s="109">
        <v>1516</v>
      </c>
      <c r="M31" s="111">
        <v>468026</v>
      </c>
      <c r="N31" s="112" t="s">
        <v>84</v>
      </c>
    </row>
    <row r="32" spans="1:14" s="107" customFormat="1" ht="15.75" customHeight="1">
      <c r="A32" s="108" t="s">
        <v>85</v>
      </c>
      <c r="B32" s="109">
        <f>_xlfn.COMPOUNDVALUE(83)</f>
        <v>1208</v>
      </c>
      <c r="C32" s="110">
        <v>443114</v>
      </c>
      <c r="D32" s="109">
        <f>_xlfn.COMPOUNDVALUE(84)</f>
        <v>2292</v>
      </c>
      <c r="E32" s="110">
        <v>558304</v>
      </c>
      <c r="F32" s="109">
        <f>_xlfn.COMPOUNDVALUE(85)</f>
        <v>3500</v>
      </c>
      <c r="G32" s="110">
        <v>1001417</v>
      </c>
      <c r="H32" s="109">
        <f>_xlfn.COMPOUNDVALUE(86)</f>
        <v>82</v>
      </c>
      <c r="I32" s="111">
        <v>21056</v>
      </c>
      <c r="J32" s="109">
        <v>219</v>
      </c>
      <c r="K32" s="111">
        <v>42359</v>
      </c>
      <c r="L32" s="109">
        <v>3682</v>
      </c>
      <c r="M32" s="111">
        <v>1022721</v>
      </c>
      <c r="N32" s="112" t="s">
        <v>85</v>
      </c>
    </row>
    <row r="33" spans="1:14" s="107" customFormat="1" ht="15.75" customHeight="1">
      <c r="A33" s="108" t="s">
        <v>86</v>
      </c>
      <c r="B33" s="109">
        <f>_xlfn.COMPOUNDVALUE(87)</f>
        <v>236</v>
      </c>
      <c r="C33" s="110">
        <v>94392</v>
      </c>
      <c r="D33" s="109">
        <f>_xlfn.COMPOUNDVALUE(88)</f>
        <v>364</v>
      </c>
      <c r="E33" s="110">
        <v>81756</v>
      </c>
      <c r="F33" s="109">
        <f>_xlfn.COMPOUNDVALUE(89)</f>
        <v>600</v>
      </c>
      <c r="G33" s="110">
        <v>176147</v>
      </c>
      <c r="H33" s="109">
        <f>_xlfn.COMPOUNDVALUE(90)</f>
        <v>10</v>
      </c>
      <c r="I33" s="111">
        <v>1703</v>
      </c>
      <c r="J33" s="109">
        <v>51</v>
      </c>
      <c r="K33" s="111">
        <v>4735</v>
      </c>
      <c r="L33" s="109">
        <v>638</v>
      </c>
      <c r="M33" s="111">
        <v>179180</v>
      </c>
      <c r="N33" s="112" t="s">
        <v>86</v>
      </c>
    </row>
    <row r="34" spans="1:14" s="107" customFormat="1" ht="15.75" customHeight="1">
      <c r="A34" s="108" t="s">
        <v>87</v>
      </c>
      <c r="B34" s="109">
        <f>_xlfn.COMPOUNDVALUE(91)</f>
        <v>350</v>
      </c>
      <c r="C34" s="110">
        <v>119596</v>
      </c>
      <c r="D34" s="109">
        <f>_xlfn.COMPOUNDVALUE(92)</f>
        <v>689</v>
      </c>
      <c r="E34" s="110">
        <v>156443</v>
      </c>
      <c r="F34" s="109">
        <f>_xlfn.COMPOUNDVALUE(93)</f>
        <v>1039</v>
      </c>
      <c r="G34" s="110">
        <v>276039</v>
      </c>
      <c r="H34" s="109">
        <f>_xlfn.COMPOUNDVALUE(94)</f>
        <v>24</v>
      </c>
      <c r="I34" s="111">
        <v>42554</v>
      </c>
      <c r="J34" s="109">
        <v>76</v>
      </c>
      <c r="K34" s="111">
        <v>8865</v>
      </c>
      <c r="L34" s="109">
        <v>1110</v>
      </c>
      <c r="M34" s="111">
        <v>242350</v>
      </c>
      <c r="N34" s="112" t="s">
        <v>87</v>
      </c>
    </row>
    <row r="35" spans="1:14" s="107" customFormat="1" ht="15.75" customHeight="1">
      <c r="A35" s="108" t="s">
        <v>88</v>
      </c>
      <c r="B35" s="109">
        <f>_xlfn.COMPOUNDVALUE(95)</f>
        <v>303</v>
      </c>
      <c r="C35" s="110">
        <v>90535</v>
      </c>
      <c r="D35" s="109">
        <f>_xlfn.COMPOUNDVALUE(96)</f>
        <v>759</v>
      </c>
      <c r="E35" s="110">
        <v>163869</v>
      </c>
      <c r="F35" s="109">
        <f>_xlfn.COMPOUNDVALUE(97)</f>
        <v>1062</v>
      </c>
      <c r="G35" s="110">
        <v>254403</v>
      </c>
      <c r="H35" s="109">
        <f>_xlfn.COMPOUNDVALUE(98)</f>
        <v>29</v>
      </c>
      <c r="I35" s="111">
        <v>4814</v>
      </c>
      <c r="J35" s="109">
        <v>39</v>
      </c>
      <c r="K35" s="111">
        <v>5513</v>
      </c>
      <c r="L35" s="109">
        <v>1117</v>
      </c>
      <c r="M35" s="111">
        <v>255103</v>
      </c>
      <c r="N35" s="112" t="s">
        <v>88</v>
      </c>
    </row>
    <row r="36" spans="1:14" s="107" customFormat="1" ht="15.75" customHeight="1">
      <c r="A36" s="113" t="s">
        <v>89</v>
      </c>
      <c r="B36" s="114">
        <v>6606</v>
      </c>
      <c r="C36" s="115">
        <v>2431342</v>
      </c>
      <c r="D36" s="114">
        <v>11994</v>
      </c>
      <c r="E36" s="115">
        <v>2892816</v>
      </c>
      <c r="F36" s="114">
        <v>18600</v>
      </c>
      <c r="G36" s="115">
        <v>5324158</v>
      </c>
      <c r="H36" s="114">
        <v>420</v>
      </c>
      <c r="I36" s="116">
        <v>182284</v>
      </c>
      <c r="J36" s="114">
        <v>1204</v>
      </c>
      <c r="K36" s="116">
        <v>151901</v>
      </c>
      <c r="L36" s="114">
        <v>19639</v>
      </c>
      <c r="M36" s="116">
        <v>5293774</v>
      </c>
      <c r="N36" s="117" t="s">
        <v>90</v>
      </c>
    </row>
    <row r="37" spans="1:14" s="107" customFormat="1" ht="15.75" customHeight="1">
      <c r="A37" s="118"/>
      <c r="B37" s="119"/>
      <c r="C37" s="120"/>
      <c r="D37" s="119"/>
      <c r="E37" s="120"/>
      <c r="F37" s="121"/>
      <c r="G37" s="120"/>
      <c r="H37" s="121"/>
      <c r="I37" s="120"/>
      <c r="J37" s="121"/>
      <c r="K37" s="120"/>
      <c r="L37" s="121"/>
      <c r="M37" s="120"/>
      <c r="N37" s="122"/>
    </row>
    <row r="38" spans="1:14" s="107" customFormat="1" ht="15.75" customHeight="1">
      <c r="A38" s="102" t="s">
        <v>91</v>
      </c>
      <c r="B38" s="103">
        <f>_xlfn.COMPOUNDVALUE(99)</f>
        <v>1842</v>
      </c>
      <c r="C38" s="104">
        <v>740731</v>
      </c>
      <c r="D38" s="103">
        <f>_xlfn.COMPOUNDVALUE(100)</f>
        <v>3849</v>
      </c>
      <c r="E38" s="104">
        <v>1010207</v>
      </c>
      <c r="F38" s="103">
        <f>_xlfn.COMPOUNDVALUE(101)</f>
        <v>5691</v>
      </c>
      <c r="G38" s="104">
        <v>1750938</v>
      </c>
      <c r="H38" s="103">
        <f>_xlfn.COMPOUNDVALUE(102)</f>
        <v>125</v>
      </c>
      <c r="I38" s="105">
        <v>71746</v>
      </c>
      <c r="J38" s="103">
        <v>388</v>
      </c>
      <c r="K38" s="105">
        <v>52601</v>
      </c>
      <c r="L38" s="103">
        <v>6011</v>
      </c>
      <c r="M38" s="105">
        <v>1731793</v>
      </c>
      <c r="N38" s="123" t="s">
        <v>91</v>
      </c>
    </row>
    <row r="39" spans="1:14" s="107" customFormat="1" ht="15.75" customHeight="1">
      <c r="A39" s="102" t="s">
        <v>92</v>
      </c>
      <c r="B39" s="103">
        <f>_xlfn.COMPOUNDVALUE(103)</f>
        <v>920</v>
      </c>
      <c r="C39" s="104">
        <v>389112</v>
      </c>
      <c r="D39" s="103">
        <f>_xlfn.COMPOUNDVALUE(104)</f>
        <v>2304</v>
      </c>
      <c r="E39" s="104">
        <v>537582</v>
      </c>
      <c r="F39" s="103">
        <f>_xlfn.COMPOUNDVALUE(105)</f>
        <v>3224</v>
      </c>
      <c r="G39" s="104">
        <v>926694</v>
      </c>
      <c r="H39" s="103">
        <f>_xlfn.COMPOUNDVALUE(106)</f>
        <v>70</v>
      </c>
      <c r="I39" s="105">
        <v>48743</v>
      </c>
      <c r="J39" s="103">
        <v>285</v>
      </c>
      <c r="K39" s="105">
        <v>48256</v>
      </c>
      <c r="L39" s="103">
        <v>3463</v>
      </c>
      <c r="M39" s="105">
        <v>926208</v>
      </c>
      <c r="N39" s="106" t="s">
        <v>92</v>
      </c>
    </row>
    <row r="40" spans="1:14" s="107" customFormat="1" ht="15.75" customHeight="1">
      <c r="A40" s="102" t="s">
        <v>93</v>
      </c>
      <c r="B40" s="103">
        <f>_xlfn.COMPOUNDVALUE(107)</f>
        <v>1645</v>
      </c>
      <c r="C40" s="104">
        <v>694739</v>
      </c>
      <c r="D40" s="103">
        <f>_xlfn.COMPOUNDVALUE(108)</f>
        <v>3350</v>
      </c>
      <c r="E40" s="104">
        <v>927219</v>
      </c>
      <c r="F40" s="103">
        <f>_xlfn.COMPOUNDVALUE(109)</f>
        <v>4995</v>
      </c>
      <c r="G40" s="104">
        <v>1621958</v>
      </c>
      <c r="H40" s="103">
        <f>_xlfn.COMPOUNDVALUE(110)</f>
        <v>85</v>
      </c>
      <c r="I40" s="105">
        <v>57197</v>
      </c>
      <c r="J40" s="103">
        <v>595</v>
      </c>
      <c r="K40" s="105">
        <v>95928</v>
      </c>
      <c r="L40" s="103">
        <v>5434</v>
      </c>
      <c r="M40" s="105">
        <v>1660690</v>
      </c>
      <c r="N40" s="106" t="s">
        <v>93</v>
      </c>
    </row>
    <row r="41" spans="1:14" s="107" customFormat="1" ht="15.75" customHeight="1">
      <c r="A41" s="102" t="s">
        <v>94</v>
      </c>
      <c r="B41" s="103">
        <f>_xlfn.COMPOUNDVALUE(111)</f>
        <v>821</v>
      </c>
      <c r="C41" s="104">
        <v>362725</v>
      </c>
      <c r="D41" s="103">
        <f>_xlfn.COMPOUNDVALUE(112)</f>
        <v>1571</v>
      </c>
      <c r="E41" s="104">
        <v>456305</v>
      </c>
      <c r="F41" s="103">
        <f>_xlfn.COMPOUNDVALUE(113)</f>
        <v>2392</v>
      </c>
      <c r="G41" s="104">
        <v>819031</v>
      </c>
      <c r="H41" s="103">
        <f>_xlfn.COMPOUNDVALUE(114)</f>
        <v>40</v>
      </c>
      <c r="I41" s="105">
        <v>20696</v>
      </c>
      <c r="J41" s="103">
        <v>296</v>
      </c>
      <c r="K41" s="105">
        <v>46936</v>
      </c>
      <c r="L41" s="103">
        <v>2595</v>
      </c>
      <c r="M41" s="105">
        <v>845270</v>
      </c>
      <c r="N41" s="106" t="s">
        <v>94</v>
      </c>
    </row>
    <row r="42" spans="1:14" s="107" customFormat="1" ht="15.75" customHeight="1">
      <c r="A42" s="102" t="s">
        <v>95</v>
      </c>
      <c r="B42" s="103">
        <f>_xlfn.COMPOUNDVALUE(115)</f>
        <v>1292</v>
      </c>
      <c r="C42" s="104">
        <v>845623</v>
      </c>
      <c r="D42" s="103">
        <f>_xlfn.COMPOUNDVALUE(116)</f>
        <v>2646</v>
      </c>
      <c r="E42" s="104">
        <v>819709</v>
      </c>
      <c r="F42" s="103">
        <f>_xlfn.COMPOUNDVALUE(117)</f>
        <v>3938</v>
      </c>
      <c r="G42" s="104">
        <v>1665332</v>
      </c>
      <c r="H42" s="103">
        <f>_xlfn.COMPOUNDVALUE(118)</f>
        <v>76</v>
      </c>
      <c r="I42" s="105">
        <v>110055</v>
      </c>
      <c r="J42" s="103">
        <v>388</v>
      </c>
      <c r="K42" s="105">
        <v>50497</v>
      </c>
      <c r="L42" s="103">
        <v>4204</v>
      </c>
      <c r="M42" s="105">
        <v>1605775</v>
      </c>
      <c r="N42" s="106" t="s">
        <v>95</v>
      </c>
    </row>
    <row r="43" spans="1:14" s="107" customFormat="1" ht="15.75" customHeight="1">
      <c r="A43" s="102" t="s">
        <v>96</v>
      </c>
      <c r="B43" s="103">
        <f>_xlfn.COMPOUNDVALUE(119)</f>
        <v>1046</v>
      </c>
      <c r="C43" s="104">
        <v>689471</v>
      </c>
      <c r="D43" s="103">
        <f>_xlfn.COMPOUNDVALUE(120)</f>
        <v>2116</v>
      </c>
      <c r="E43" s="104">
        <v>648176</v>
      </c>
      <c r="F43" s="103">
        <f>_xlfn.COMPOUNDVALUE(121)</f>
        <v>3162</v>
      </c>
      <c r="G43" s="104">
        <v>1337647</v>
      </c>
      <c r="H43" s="103">
        <f>_xlfn.COMPOUNDVALUE(122)</f>
        <v>60</v>
      </c>
      <c r="I43" s="105">
        <v>55585</v>
      </c>
      <c r="J43" s="103">
        <v>256</v>
      </c>
      <c r="K43" s="105">
        <v>31609</v>
      </c>
      <c r="L43" s="103">
        <v>3314</v>
      </c>
      <c r="M43" s="105">
        <v>1313672</v>
      </c>
      <c r="N43" s="106" t="s">
        <v>96</v>
      </c>
    </row>
    <row r="44" spans="1:14" s="107" customFormat="1" ht="15.75" customHeight="1">
      <c r="A44" s="102" t="s">
        <v>97</v>
      </c>
      <c r="B44" s="103">
        <f>_xlfn.COMPOUNDVALUE(123)</f>
        <v>617</v>
      </c>
      <c r="C44" s="104">
        <v>230286</v>
      </c>
      <c r="D44" s="103">
        <f>_xlfn.COMPOUNDVALUE(124)</f>
        <v>1334</v>
      </c>
      <c r="E44" s="104">
        <v>324331</v>
      </c>
      <c r="F44" s="103">
        <f>_xlfn.COMPOUNDVALUE(125)</f>
        <v>1951</v>
      </c>
      <c r="G44" s="104">
        <v>554618</v>
      </c>
      <c r="H44" s="103">
        <f>_xlfn.COMPOUNDVALUE(126)</f>
        <v>31</v>
      </c>
      <c r="I44" s="105">
        <v>11224</v>
      </c>
      <c r="J44" s="103">
        <v>126</v>
      </c>
      <c r="K44" s="105">
        <v>14587</v>
      </c>
      <c r="L44" s="103">
        <v>2057</v>
      </c>
      <c r="M44" s="105">
        <v>557981</v>
      </c>
      <c r="N44" s="106" t="s">
        <v>97</v>
      </c>
    </row>
    <row r="45" spans="1:14" s="107" customFormat="1" ht="15.75" customHeight="1">
      <c r="A45" s="102" t="s">
        <v>98</v>
      </c>
      <c r="B45" s="103">
        <f>_xlfn.COMPOUNDVALUE(127)</f>
        <v>314</v>
      </c>
      <c r="C45" s="104">
        <v>108712</v>
      </c>
      <c r="D45" s="103">
        <f>_xlfn.COMPOUNDVALUE(128)</f>
        <v>658</v>
      </c>
      <c r="E45" s="104">
        <v>150681</v>
      </c>
      <c r="F45" s="103">
        <f>_xlfn.COMPOUNDVALUE(129)</f>
        <v>972</v>
      </c>
      <c r="G45" s="104">
        <v>259393</v>
      </c>
      <c r="H45" s="103">
        <f>_xlfn.COMPOUNDVALUE(130)</f>
        <v>18</v>
      </c>
      <c r="I45" s="105">
        <v>2207</v>
      </c>
      <c r="J45" s="103">
        <v>56</v>
      </c>
      <c r="K45" s="105">
        <v>5564</v>
      </c>
      <c r="L45" s="103">
        <v>1009</v>
      </c>
      <c r="M45" s="105">
        <v>262750</v>
      </c>
      <c r="N45" s="106" t="s">
        <v>98</v>
      </c>
    </row>
    <row r="46" spans="1:14" s="107" customFormat="1" ht="15.75" customHeight="1">
      <c r="A46" s="108" t="s">
        <v>99</v>
      </c>
      <c r="B46" s="109">
        <f>_xlfn.COMPOUNDVALUE(131)</f>
        <v>1415</v>
      </c>
      <c r="C46" s="110">
        <v>712819</v>
      </c>
      <c r="D46" s="109">
        <f>_xlfn.COMPOUNDVALUE(132)</f>
        <v>3334</v>
      </c>
      <c r="E46" s="110">
        <v>882555</v>
      </c>
      <c r="F46" s="109">
        <f>_xlfn.COMPOUNDVALUE(133)</f>
        <v>4749</v>
      </c>
      <c r="G46" s="110">
        <v>1595374</v>
      </c>
      <c r="H46" s="109">
        <f>_xlfn.COMPOUNDVALUE(134)</f>
        <v>93</v>
      </c>
      <c r="I46" s="111">
        <v>57242</v>
      </c>
      <c r="J46" s="109">
        <v>425</v>
      </c>
      <c r="K46" s="111">
        <v>47150</v>
      </c>
      <c r="L46" s="109">
        <v>5088</v>
      </c>
      <c r="M46" s="111">
        <v>1585283</v>
      </c>
      <c r="N46" s="112" t="s">
        <v>99</v>
      </c>
    </row>
    <row r="47" spans="1:14" s="107" customFormat="1" ht="15.75" customHeight="1">
      <c r="A47" s="108" t="s">
        <v>100</v>
      </c>
      <c r="B47" s="109">
        <f>_xlfn.COMPOUNDVALUE(135)</f>
        <v>393</v>
      </c>
      <c r="C47" s="110">
        <v>142912</v>
      </c>
      <c r="D47" s="109">
        <f>_xlfn.COMPOUNDVALUE(136)</f>
        <v>856</v>
      </c>
      <c r="E47" s="110">
        <v>194199</v>
      </c>
      <c r="F47" s="109">
        <f>_xlfn.COMPOUNDVALUE(137)</f>
        <v>1249</v>
      </c>
      <c r="G47" s="110">
        <v>337111</v>
      </c>
      <c r="H47" s="109">
        <f>_xlfn.COMPOUNDVALUE(138)</f>
        <v>25</v>
      </c>
      <c r="I47" s="111">
        <v>5414</v>
      </c>
      <c r="J47" s="109">
        <v>121</v>
      </c>
      <c r="K47" s="111">
        <v>7219</v>
      </c>
      <c r="L47" s="109">
        <v>1324</v>
      </c>
      <c r="M47" s="111">
        <v>338916</v>
      </c>
      <c r="N47" s="112" t="s">
        <v>100</v>
      </c>
    </row>
    <row r="48" spans="1:14" s="107" customFormat="1" ht="15.75" customHeight="1">
      <c r="A48" s="108" t="s">
        <v>101</v>
      </c>
      <c r="B48" s="109">
        <f>_xlfn.COMPOUNDVALUE(139)</f>
        <v>556</v>
      </c>
      <c r="C48" s="110">
        <v>196230</v>
      </c>
      <c r="D48" s="109">
        <f>_xlfn.COMPOUNDVALUE(140)</f>
        <v>1015</v>
      </c>
      <c r="E48" s="110">
        <v>236951</v>
      </c>
      <c r="F48" s="109">
        <f>_xlfn.COMPOUNDVALUE(141)</f>
        <v>1571</v>
      </c>
      <c r="G48" s="110">
        <v>433181</v>
      </c>
      <c r="H48" s="109">
        <f>_xlfn.COMPOUNDVALUE(142)</f>
        <v>32</v>
      </c>
      <c r="I48" s="111">
        <v>13154</v>
      </c>
      <c r="J48" s="109">
        <v>195</v>
      </c>
      <c r="K48" s="111">
        <v>21750</v>
      </c>
      <c r="L48" s="109">
        <v>1698</v>
      </c>
      <c r="M48" s="111">
        <v>441777</v>
      </c>
      <c r="N48" s="112" t="s">
        <v>101</v>
      </c>
    </row>
    <row r="49" spans="1:14" s="107" customFormat="1" ht="15.75" customHeight="1">
      <c r="A49" s="108" t="s">
        <v>102</v>
      </c>
      <c r="B49" s="109">
        <f>_xlfn.COMPOUNDVALUE(143)</f>
        <v>1696</v>
      </c>
      <c r="C49" s="110">
        <v>621502</v>
      </c>
      <c r="D49" s="109">
        <f>_xlfn.COMPOUNDVALUE(144)</f>
        <v>3376</v>
      </c>
      <c r="E49" s="110">
        <v>859279</v>
      </c>
      <c r="F49" s="109">
        <f>_xlfn.COMPOUNDVALUE(145)</f>
        <v>5072</v>
      </c>
      <c r="G49" s="110">
        <v>1480782</v>
      </c>
      <c r="H49" s="109">
        <f>_xlfn.COMPOUNDVALUE(146)</f>
        <v>98</v>
      </c>
      <c r="I49" s="111">
        <v>73152</v>
      </c>
      <c r="J49" s="109">
        <v>576</v>
      </c>
      <c r="K49" s="111">
        <v>61688</v>
      </c>
      <c r="L49" s="109">
        <v>5512</v>
      </c>
      <c r="M49" s="111">
        <v>1469318</v>
      </c>
      <c r="N49" s="112" t="s">
        <v>102</v>
      </c>
    </row>
    <row r="50" spans="1:14" s="107" customFormat="1" ht="15.75" customHeight="1">
      <c r="A50" s="108" t="s">
        <v>103</v>
      </c>
      <c r="B50" s="109">
        <f>_xlfn.COMPOUNDVALUE(147)</f>
        <v>980</v>
      </c>
      <c r="C50" s="110">
        <v>373060</v>
      </c>
      <c r="D50" s="109">
        <f>_xlfn.COMPOUNDVALUE(148)</f>
        <v>1930</v>
      </c>
      <c r="E50" s="110">
        <v>503737</v>
      </c>
      <c r="F50" s="109">
        <f>_xlfn.COMPOUNDVALUE(149)</f>
        <v>2910</v>
      </c>
      <c r="G50" s="110">
        <v>876797</v>
      </c>
      <c r="H50" s="109">
        <f>_xlfn.COMPOUNDVALUE(150)</f>
        <v>53</v>
      </c>
      <c r="I50" s="111">
        <v>42074</v>
      </c>
      <c r="J50" s="109">
        <v>189</v>
      </c>
      <c r="K50" s="111">
        <v>29597</v>
      </c>
      <c r="L50" s="109">
        <v>3057</v>
      </c>
      <c r="M50" s="111">
        <v>864320</v>
      </c>
      <c r="N50" s="112" t="s">
        <v>103</v>
      </c>
    </row>
    <row r="51" spans="1:14" s="107" customFormat="1" ht="15.75" customHeight="1">
      <c r="A51" s="108" t="s">
        <v>104</v>
      </c>
      <c r="B51" s="109">
        <f>_xlfn.COMPOUNDVALUE(151)</f>
        <v>1673</v>
      </c>
      <c r="C51" s="110">
        <v>610267</v>
      </c>
      <c r="D51" s="109">
        <f>_xlfn.COMPOUNDVALUE(152)</f>
        <v>3274</v>
      </c>
      <c r="E51" s="110">
        <v>878155</v>
      </c>
      <c r="F51" s="109">
        <f>_xlfn.COMPOUNDVALUE(153)</f>
        <v>4947</v>
      </c>
      <c r="G51" s="110">
        <v>1488421</v>
      </c>
      <c r="H51" s="109">
        <f>_xlfn.COMPOUNDVALUE(154)</f>
        <v>122</v>
      </c>
      <c r="I51" s="111">
        <v>122182</v>
      </c>
      <c r="J51" s="109">
        <v>389</v>
      </c>
      <c r="K51" s="111">
        <v>40548</v>
      </c>
      <c r="L51" s="109">
        <v>5251</v>
      </c>
      <c r="M51" s="111">
        <v>1406786</v>
      </c>
      <c r="N51" s="112" t="s">
        <v>104</v>
      </c>
    </row>
    <row r="52" spans="1:14" s="107" customFormat="1" ht="15.75" customHeight="1">
      <c r="A52" s="108" t="s">
        <v>105</v>
      </c>
      <c r="B52" s="109">
        <f>_xlfn.COMPOUNDVALUE(155)</f>
        <v>989</v>
      </c>
      <c r="C52" s="110">
        <v>453879</v>
      </c>
      <c r="D52" s="109">
        <f>_xlfn.COMPOUNDVALUE(156)</f>
        <v>2065</v>
      </c>
      <c r="E52" s="110">
        <v>594530</v>
      </c>
      <c r="F52" s="109">
        <f>_xlfn.COMPOUNDVALUE(157)</f>
        <v>3054</v>
      </c>
      <c r="G52" s="110">
        <v>1048408</v>
      </c>
      <c r="H52" s="109">
        <f>_xlfn.COMPOUNDVALUE(158)</f>
        <v>70</v>
      </c>
      <c r="I52" s="111">
        <v>58515</v>
      </c>
      <c r="J52" s="109">
        <v>363</v>
      </c>
      <c r="K52" s="111">
        <v>49749</v>
      </c>
      <c r="L52" s="109">
        <v>3268</v>
      </c>
      <c r="M52" s="111">
        <v>1039643</v>
      </c>
      <c r="N52" s="112" t="s">
        <v>105</v>
      </c>
    </row>
    <row r="53" spans="1:14" s="107" customFormat="1" ht="15.75" customHeight="1">
      <c r="A53" s="113" t="s">
        <v>106</v>
      </c>
      <c r="B53" s="114">
        <v>16199</v>
      </c>
      <c r="C53" s="115">
        <v>7172069</v>
      </c>
      <c r="D53" s="114">
        <v>33678</v>
      </c>
      <c r="E53" s="115">
        <v>9023616</v>
      </c>
      <c r="F53" s="114">
        <v>49877</v>
      </c>
      <c r="G53" s="115">
        <v>16195685</v>
      </c>
      <c r="H53" s="114">
        <v>998</v>
      </c>
      <c r="I53" s="116">
        <v>749185</v>
      </c>
      <c r="J53" s="114">
        <v>4648</v>
      </c>
      <c r="K53" s="116">
        <v>603680</v>
      </c>
      <c r="L53" s="114">
        <v>53285</v>
      </c>
      <c r="M53" s="116">
        <v>16050180</v>
      </c>
      <c r="N53" s="117" t="s">
        <v>107</v>
      </c>
    </row>
    <row r="54" spans="1:14" s="107" customFormat="1" ht="15.75" customHeight="1">
      <c r="A54" s="118"/>
      <c r="B54" s="119"/>
      <c r="C54" s="120"/>
      <c r="D54" s="119"/>
      <c r="E54" s="120"/>
      <c r="F54" s="121"/>
      <c r="G54" s="120"/>
      <c r="H54" s="121"/>
      <c r="I54" s="120"/>
      <c r="J54" s="121"/>
      <c r="K54" s="120"/>
      <c r="L54" s="121"/>
      <c r="M54" s="120"/>
      <c r="N54" s="122"/>
    </row>
    <row r="55" spans="1:14" s="107" customFormat="1" ht="15.75" customHeight="1">
      <c r="A55" s="102" t="s">
        <v>108</v>
      </c>
      <c r="B55" s="103">
        <f>_xlfn.COMPOUNDVALUE(159)</f>
        <v>1935</v>
      </c>
      <c r="C55" s="104">
        <v>779654</v>
      </c>
      <c r="D55" s="103">
        <f>_xlfn.COMPOUNDVALUE(160)</f>
        <v>3536</v>
      </c>
      <c r="E55" s="104">
        <v>922962</v>
      </c>
      <c r="F55" s="103">
        <f>_xlfn.COMPOUNDVALUE(161)</f>
        <v>5471</v>
      </c>
      <c r="G55" s="104">
        <v>1702617</v>
      </c>
      <c r="H55" s="103">
        <f>_xlfn.COMPOUNDVALUE(162)</f>
        <v>113</v>
      </c>
      <c r="I55" s="105">
        <v>35315</v>
      </c>
      <c r="J55" s="103">
        <v>555</v>
      </c>
      <c r="K55" s="105">
        <v>73561</v>
      </c>
      <c r="L55" s="103">
        <v>5790</v>
      </c>
      <c r="M55" s="105">
        <v>1740863</v>
      </c>
      <c r="N55" s="123" t="s">
        <v>108</v>
      </c>
    </row>
    <row r="56" spans="1:14" s="107" customFormat="1" ht="15.75" customHeight="1">
      <c r="A56" s="102" t="s">
        <v>109</v>
      </c>
      <c r="B56" s="103">
        <f>_xlfn.COMPOUNDVALUE(163)</f>
        <v>426</v>
      </c>
      <c r="C56" s="104">
        <v>136831</v>
      </c>
      <c r="D56" s="103">
        <f>_xlfn.COMPOUNDVALUE(164)</f>
        <v>725</v>
      </c>
      <c r="E56" s="104">
        <v>174285</v>
      </c>
      <c r="F56" s="103">
        <f>_xlfn.COMPOUNDVALUE(165)</f>
        <v>1151</v>
      </c>
      <c r="G56" s="104">
        <v>311116</v>
      </c>
      <c r="H56" s="103">
        <f>_xlfn.COMPOUNDVALUE(166)</f>
        <v>21</v>
      </c>
      <c r="I56" s="105">
        <v>15964</v>
      </c>
      <c r="J56" s="103">
        <v>117</v>
      </c>
      <c r="K56" s="105">
        <v>9869</v>
      </c>
      <c r="L56" s="103">
        <v>1204</v>
      </c>
      <c r="M56" s="105">
        <v>305021</v>
      </c>
      <c r="N56" s="106" t="s">
        <v>109</v>
      </c>
    </row>
    <row r="57" spans="1:14" s="107" customFormat="1" ht="15.75" customHeight="1">
      <c r="A57" s="102" t="s">
        <v>110</v>
      </c>
      <c r="B57" s="103">
        <f>_xlfn.COMPOUNDVALUE(167)</f>
        <v>674</v>
      </c>
      <c r="C57" s="104">
        <v>255363</v>
      </c>
      <c r="D57" s="103">
        <f>_xlfn.COMPOUNDVALUE(168)</f>
        <v>1105</v>
      </c>
      <c r="E57" s="104">
        <v>250728</v>
      </c>
      <c r="F57" s="103">
        <f>_xlfn.COMPOUNDVALUE(169)</f>
        <v>1779</v>
      </c>
      <c r="G57" s="104">
        <v>506091</v>
      </c>
      <c r="H57" s="103">
        <f>_xlfn.COMPOUNDVALUE(170)</f>
        <v>41</v>
      </c>
      <c r="I57" s="105">
        <v>11664</v>
      </c>
      <c r="J57" s="103">
        <v>110</v>
      </c>
      <c r="K57" s="105">
        <v>9819</v>
      </c>
      <c r="L57" s="103">
        <v>1841</v>
      </c>
      <c r="M57" s="105">
        <v>504245</v>
      </c>
      <c r="N57" s="106" t="s">
        <v>110</v>
      </c>
    </row>
    <row r="58" spans="1:14" s="107" customFormat="1" ht="15.75" customHeight="1">
      <c r="A58" s="102" t="s">
        <v>111</v>
      </c>
      <c r="B58" s="103">
        <f>_xlfn.COMPOUNDVALUE(171)</f>
        <v>709</v>
      </c>
      <c r="C58" s="104">
        <v>265954</v>
      </c>
      <c r="D58" s="103">
        <f>_xlfn.COMPOUNDVALUE(172)</f>
        <v>1206</v>
      </c>
      <c r="E58" s="104">
        <v>291633</v>
      </c>
      <c r="F58" s="103">
        <f>_xlfn.COMPOUNDVALUE(173)</f>
        <v>1915</v>
      </c>
      <c r="G58" s="104">
        <v>557587</v>
      </c>
      <c r="H58" s="103">
        <f>_xlfn.COMPOUNDVALUE(174)</f>
        <v>30</v>
      </c>
      <c r="I58" s="105">
        <v>18270</v>
      </c>
      <c r="J58" s="103">
        <v>160</v>
      </c>
      <c r="K58" s="105">
        <v>17929</v>
      </c>
      <c r="L58" s="103">
        <v>2023</v>
      </c>
      <c r="M58" s="105">
        <v>557246</v>
      </c>
      <c r="N58" s="106" t="s">
        <v>111</v>
      </c>
    </row>
    <row r="59" spans="1:14" s="107" customFormat="1" ht="15.75" customHeight="1">
      <c r="A59" s="102" t="s">
        <v>112</v>
      </c>
      <c r="B59" s="103">
        <f>_xlfn.COMPOUNDVALUE(175)</f>
        <v>680</v>
      </c>
      <c r="C59" s="104">
        <v>249266</v>
      </c>
      <c r="D59" s="103">
        <f>_xlfn.COMPOUNDVALUE(176)</f>
        <v>1171</v>
      </c>
      <c r="E59" s="104">
        <v>277039</v>
      </c>
      <c r="F59" s="103">
        <f>_xlfn.COMPOUNDVALUE(177)</f>
        <v>1851</v>
      </c>
      <c r="G59" s="104">
        <v>526304</v>
      </c>
      <c r="H59" s="103">
        <f>_xlfn.COMPOUNDVALUE(178)</f>
        <v>36</v>
      </c>
      <c r="I59" s="105">
        <v>11948</v>
      </c>
      <c r="J59" s="103">
        <v>62</v>
      </c>
      <c r="K59" s="105">
        <v>6553</v>
      </c>
      <c r="L59" s="103">
        <v>1909</v>
      </c>
      <c r="M59" s="105">
        <v>520909</v>
      </c>
      <c r="N59" s="106" t="s">
        <v>112</v>
      </c>
    </row>
    <row r="60" spans="1:14" s="107" customFormat="1" ht="15.75" customHeight="1">
      <c r="A60" s="102" t="s">
        <v>113</v>
      </c>
      <c r="B60" s="103">
        <f>_xlfn.COMPOUNDVALUE(179)</f>
        <v>257</v>
      </c>
      <c r="C60" s="104">
        <v>101269</v>
      </c>
      <c r="D60" s="103">
        <f>_xlfn.COMPOUNDVALUE(180)</f>
        <v>486</v>
      </c>
      <c r="E60" s="104">
        <v>115742</v>
      </c>
      <c r="F60" s="103">
        <f>_xlfn.COMPOUNDVALUE(181)</f>
        <v>743</v>
      </c>
      <c r="G60" s="104">
        <v>217011</v>
      </c>
      <c r="H60" s="103">
        <f>_xlfn.COMPOUNDVALUE(182)</f>
        <v>6</v>
      </c>
      <c r="I60" s="105">
        <v>293</v>
      </c>
      <c r="J60" s="103">
        <v>57</v>
      </c>
      <c r="K60" s="105">
        <v>5488</v>
      </c>
      <c r="L60" s="103">
        <v>772</v>
      </c>
      <c r="M60" s="105">
        <v>222205</v>
      </c>
      <c r="N60" s="106" t="s">
        <v>113</v>
      </c>
    </row>
    <row r="61" spans="1:14" s="107" customFormat="1" ht="15.75" customHeight="1">
      <c r="A61" s="108" t="s">
        <v>114</v>
      </c>
      <c r="B61" s="109">
        <f>_xlfn.COMPOUNDVALUE(183)</f>
        <v>628</v>
      </c>
      <c r="C61" s="110">
        <v>269565</v>
      </c>
      <c r="D61" s="109">
        <f>_xlfn.COMPOUNDVALUE(184)</f>
        <v>1315</v>
      </c>
      <c r="E61" s="110">
        <v>321355</v>
      </c>
      <c r="F61" s="109">
        <f>_xlfn.COMPOUNDVALUE(185)</f>
        <v>1943</v>
      </c>
      <c r="G61" s="110">
        <v>590920</v>
      </c>
      <c r="H61" s="109">
        <f>_xlfn.COMPOUNDVALUE(186)</f>
        <v>39</v>
      </c>
      <c r="I61" s="111">
        <v>22455</v>
      </c>
      <c r="J61" s="109">
        <v>135</v>
      </c>
      <c r="K61" s="111">
        <v>13891</v>
      </c>
      <c r="L61" s="109">
        <v>2026</v>
      </c>
      <c r="M61" s="111">
        <v>582356</v>
      </c>
      <c r="N61" s="112" t="s">
        <v>114</v>
      </c>
    </row>
    <row r="62" spans="1:14" s="107" customFormat="1" ht="15.75" customHeight="1">
      <c r="A62" s="108" t="s">
        <v>115</v>
      </c>
      <c r="B62" s="109">
        <f>_xlfn.COMPOUNDVALUE(187)</f>
        <v>603</v>
      </c>
      <c r="C62" s="110">
        <v>245936</v>
      </c>
      <c r="D62" s="109">
        <f>_xlfn.COMPOUNDVALUE(188)</f>
        <v>1139</v>
      </c>
      <c r="E62" s="110">
        <v>292553</v>
      </c>
      <c r="F62" s="109">
        <f>_xlfn.COMPOUNDVALUE(189)</f>
        <v>1742</v>
      </c>
      <c r="G62" s="110">
        <v>538489</v>
      </c>
      <c r="H62" s="109">
        <f>_xlfn.COMPOUNDVALUE(190)</f>
        <v>31</v>
      </c>
      <c r="I62" s="111">
        <v>8137</v>
      </c>
      <c r="J62" s="109">
        <v>108</v>
      </c>
      <c r="K62" s="111">
        <v>7436</v>
      </c>
      <c r="L62" s="109">
        <v>1801</v>
      </c>
      <c r="M62" s="111">
        <v>537788</v>
      </c>
      <c r="N62" s="112" t="s">
        <v>115</v>
      </c>
    </row>
    <row r="63" spans="1:14" s="107" customFormat="1" ht="15.75" customHeight="1">
      <c r="A63" s="108" t="s">
        <v>116</v>
      </c>
      <c r="B63" s="109">
        <f>_xlfn.COMPOUNDVALUE(191)</f>
        <v>274</v>
      </c>
      <c r="C63" s="110">
        <v>115497</v>
      </c>
      <c r="D63" s="109">
        <f>_xlfn.COMPOUNDVALUE(192)</f>
        <v>531</v>
      </c>
      <c r="E63" s="110">
        <v>134498</v>
      </c>
      <c r="F63" s="109">
        <f>_xlfn.COMPOUNDVALUE(193)</f>
        <v>805</v>
      </c>
      <c r="G63" s="110">
        <v>249995</v>
      </c>
      <c r="H63" s="109">
        <f>_xlfn.COMPOUNDVALUE(194)</f>
        <v>9</v>
      </c>
      <c r="I63" s="111">
        <v>3158</v>
      </c>
      <c r="J63" s="109">
        <v>58</v>
      </c>
      <c r="K63" s="111">
        <v>4471</v>
      </c>
      <c r="L63" s="109">
        <v>835</v>
      </c>
      <c r="M63" s="111">
        <v>251308</v>
      </c>
      <c r="N63" s="112" t="s">
        <v>116</v>
      </c>
    </row>
    <row r="64" spans="1:14" s="107" customFormat="1" ht="15.75" customHeight="1">
      <c r="A64" s="108" t="s">
        <v>117</v>
      </c>
      <c r="B64" s="109">
        <f>_xlfn.COMPOUNDVALUE(195)</f>
        <v>259</v>
      </c>
      <c r="C64" s="110">
        <v>90531</v>
      </c>
      <c r="D64" s="109">
        <f>_xlfn.COMPOUNDVALUE(196)</f>
        <v>497</v>
      </c>
      <c r="E64" s="110">
        <v>113873</v>
      </c>
      <c r="F64" s="109">
        <f>_xlfn.COMPOUNDVALUE(197)</f>
        <v>756</v>
      </c>
      <c r="G64" s="110">
        <v>204404</v>
      </c>
      <c r="H64" s="109">
        <f>_xlfn.COMPOUNDVALUE(198)</f>
        <v>16</v>
      </c>
      <c r="I64" s="111">
        <v>1201</v>
      </c>
      <c r="J64" s="109">
        <v>55</v>
      </c>
      <c r="K64" s="111">
        <v>4459</v>
      </c>
      <c r="L64" s="109">
        <v>794</v>
      </c>
      <c r="M64" s="111">
        <v>207662</v>
      </c>
      <c r="N64" s="112" t="s">
        <v>117</v>
      </c>
    </row>
    <row r="65" spans="1:14" s="107" customFormat="1" ht="15.75" customHeight="1">
      <c r="A65" s="108" t="s">
        <v>118</v>
      </c>
      <c r="B65" s="109">
        <f>_xlfn.COMPOUNDVALUE(199)</f>
        <v>167</v>
      </c>
      <c r="C65" s="110">
        <v>67413</v>
      </c>
      <c r="D65" s="109">
        <f>_xlfn.COMPOUNDVALUE(200)</f>
        <v>324</v>
      </c>
      <c r="E65" s="110">
        <v>76489</v>
      </c>
      <c r="F65" s="109">
        <f>_xlfn.COMPOUNDVALUE(201)</f>
        <v>491</v>
      </c>
      <c r="G65" s="110">
        <v>143902</v>
      </c>
      <c r="H65" s="109">
        <f>_xlfn.COMPOUNDVALUE(202)</f>
        <v>9</v>
      </c>
      <c r="I65" s="111">
        <v>6112</v>
      </c>
      <c r="J65" s="109">
        <v>35</v>
      </c>
      <c r="K65" s="111">
        <v>2504</v>
      </c>
      <c r="L65" s="109">
        <v>506</v>
      </c>
      <c r="M65" s="111">
        <v>140294</v>
      </c>
      <c r="N65" s="112" t="s">
        <v>118</v>
      </c>
    </row>
    <row r="66" spans="1:14" s="107" customFormat="1" ht="15.75" customHeight="1">
      <c r="A66" s="108" t="s">
        <v>119</v>
      </c>
      <c r="B66" s="109">
        <f>_xlfn.COMPOUNDVALUE(203)</f>
        <v>730</v>
      </c>
      <c r="C66" s="110">
        <v>242750</v>
      </c>
      <c r="D66" s="109">
        <f>_xlfn.COMPOUNDVALUE(204)</f>
        <v>1263</v>
      </c>
      <c r="E66" s="110">
        <v>329543</v>
      </c>
      <c r="F66" s="109">
        <f>_xlfn.COMPOUNDVALUE(205)</f>
        <v>1993</v>
      </c>
      <c r="G66" s="110">
        <v>572294</v>
      </c>
      <c r="H66" s="109">
        <f>_xlfn.COMPOUNDVALUE(206)</f>
        <v>25</v>
      </c>
      <c r="I66" s="111">
        <v>7155</v>
      </c>
      <c r="J66" s="109">
        <v>159</v>
      </c>
      <c r="K66" s="111">
        <v>18858</v>
      </c>
      <c r="L66" s="109">
        <v>2055</v>
      </c>
      <c r="M66" s="111">
        <v>583997</v>
      </c>
      <c r="N66" s="112" t="s">
        <v>119</v>
      </c>
    </row>
    <row r="67" spans="1:14" s="107" customFormat="1" ht="15.75" customHeight="1">
      <c r="A67" s="108" t="s">
        <v>120</v>
      </c>
      <c r="B67" s="109">
        <f>_xlfn.COMPOUNDVALUE(207)</f>
        <v>235</v>
      </c>
      <c r="C67" s="110">
        <v>82007</v>
      </c>
      <c r="D67" s="109">
        <f>_xlfn.COMPOUNDVALUE(208)</f>
        <v>411</v>
      </c>
      <c r="E67" s="110">
        <v>90245</v>
      </c>
      <c r="F67" s="109">
        <f>_xlfn.COMPOUNDVALUE(209)</f>
        <v>646</v>
      </c>
      <c r="G67" s="110">
        <v>172252</v>
      </c>
      <c r="H67" s="109">
        <f>_xlfn.COMPOUNDVALUE(210)</f>
        <v>12</v>
      </c>
      <c r="I67" s="111">
        <v>2003</v>
      </c>
      <c r="J67" s="109">
        <v>34</v>
      </c>
      <c r="K67" s="111">
        <v>6471</v>
      </c>
      <c r="L67" s="109">
        <v>660</v>
      </c>
      <c r="M67" s="111">
        <v>176721</v>
      </c>
      <c r="N67" s="112" t="s">
        <v>121</v>
      </c>
    </row>
    <row r="68" spans="1:14" s="107" customFormat="1" ht="15.75" customHeight="1">
      <c r="A68" s="113" t="s">
        <v>122</v>
      </c>
      <c r="B68" s="114">
        <v>7577</v>
      </c>
      <c r="C68" s="115">
        <v>2902036</v>
      </c>
      <c r="D68" s="114">
        <v>13709</v>
      </c>
      <c r="E68" s="115">
        <v>3390945</v>
      </c>
      <c r="F68" s="114">
        <v>21286</v>
      </c>
      <c r="G68" s="115">
        <v>6292982</v>
      </c>
      <c r="H68" s="114">
        <v>388</v>
      </c>
      <c r="I68" s="116">
        <v>143674</v>
      </c>
      <c r="J68" s="114">
        <v>1645</v>
      </c>
      <c r="K68" s="116">
        <v>181309</v>
      </c>
      <c r="L68" s="114">
        <v>22216</v>
      </c>
      <c r="M68" s="116">
        <v>6330617</v>
      </c>
      <c r="N68" s="117" t="s">
        <v>123</v>
      </c>
    </row>
    <row r="69" spans="1:14" s="107" customFormat="1" ht="15.75" customHeight="1">
      <c r="A69" s="118"/>
      <c r="B69" s="119"/>
      <c r="C69" s="120"/>
      <c r="D69" s="119"/>
      <c r="E69" s="120"/>
      <c r="F69" s="121"/>
      <c r="G69" s="120"/>
      <c r="H69" s="121"/>
      <c r="I69" s="120"/>
      <c r="J69" s="121"/>
      <c r="K69" s="120"/>
      <c r="L69" s="121"/>
      <c r="M69" s="120"/>
      <c r="N69" s="122"/>
    </row>
    <row r="70" spans="1:14" s="107" customFormat="1" ht="15.75" customHeight="1">
      <c r="A70" s="102" t="s">
        <v>124</v>
      </c>
      <c r="B70" s="103">
        <f>_xlfn.COMPOUNDVALUE(211)</f>
        <v>1195</v>
      </c>
      <c r="C70" s="104">
        <v>433436</v>
      </c>
      <c r="D70" s="103">
        <f>_xlfn.COMPOUNDVALUE(212)</f>
        <v>1985</v>
      </c>
      <c r="E70" s="104">
        <v>498815</v>
      </c>
      <c r="F70" s="103">
        <f>_xlfn.COMPOUNDVALUE(213)</f>
        <v>3180</v>
      </c>
      <c r="G70" s="104">
        <v>932251</v>
      </c>
      <c r="H70" s="103">
        <f>_xlfn.COMPOUNDVALUE(214)</f>
        <v>60</v>
      </c>
      <c r="I70" s="105">
        <v>15316</v>
      </c>
      <c r="J70" s="103">
        <v>345</v>
      </c>
      <c r="K70" s="105">
        <v>58962</v>
      </c>
      <c r="L70" s="103">
        <v>3364</v>
      </c>
      <c r="M70" s="105">
        <v>975897</v>
      </c>
      <c r="N70" s="123" t="s">
        <v>124</v>
      </c>
    </row>
    <row r="71" spans="1:14" s="107" customFormat="1" ht="15.75" customHeight="1">
      <c r="A71" s="102" t="s">
        <v>125</v>
      </c>
      <c r="B71" s="103">
        <f>_xlfn.COMPOUNDVALUE(215)</f>
        <v>1306</v>
      </c>
      <c r="C71" s="104">
        <v>476494</v>
      </c>
      <c r="D71" s="103">
        <f>_xlfn.COMPOUNDVALUE(216)</f>
        <v>2511</v>
      </c>
      <c r="E71" s="104">
        <v>616771</v>
      </c>
      <c r="F71" s="103">
        <f>_xlfn.COMPOUNDVALUE(217)</f>
        <v>3817</v>
      </c>
      <c r="G71" s="104">
        <v>1093265</v>
      </c>
      <c r="H71" s="103">
        <f>_xlfn.COMPOUNDVALUE(218)</f>
        <v>84</v>
      </c>
      <c r="I71" s="105">
        <v>21943</v>
      </c>
      <c r="J71" s="103">
        <v>264</v>
      </c>
      <c r="K71" s="105">
        <v>24411</v>
      </c>
      <c r="L71" s="103">
        <v>3959</v>
      </c>
      <c r="M71" s="105">
        <v>1095733</v>
      </c>
      <c r="N71" s="106" t="s">
        <v>125</v>
      </c>
    </row>
    <row r="72" spans="1:14" s="107" customFormat="1" ht="15.75" customHeight="1">
      <c r="A72" s="102" t="s">
        <v>126</v>
      </c>
      <c r="B72" s="103">
        <f>_xlfn.COMPOUNDVALUE(219)</f>
        <v>838</v>
      </c>
      <c r="C72" s="104">
        <v>296625</v>
      </c>
      <c r="D72" s="103">
        <f>_xlfn.COMPOUNDVALUE(220)</f>
        <v>1297</v>
      </c>
      <c r="E72" s="104">
        <v>320804</v>
      </c>
      <c r="F72" s="103">
        <f>_xlfn.COMPOUNDVALUE(221)</f>
        <v>2135</v>
      </c>
      <c r="G72" s="104">
        <v>617429</v>
      </c>
      <c r="H72" s="103">
        <f>_xlfn.COMPOUNDVALUE(222)</f>
        <v>38</v>
      </c>
      <c r="I72" s="105">
        <v>5640</v>
      </c>
      <c r="J72" s="103">
        <v>167</v>
      </c>
      <c r="K72" s="105">
        <v>26480</v>
      </c>
      <c r="L72" s="103">
        <v>2243</v>
      </c>
      <c r="M72" s="105">
        <v>638268</v>
      </c>
      <c r="N72" s="106" t="s">
        <v>126</v>
      </c>
    </row>
    <row r="73" spans="1:14" s="107" customFormat="1" ht="15.75" customHeight="1">
      <c r="A73" s="108" t="s">
        <v>127</v>
      </c>
      <c r="B73" s="109">
        <f>_xlfn.COMPOUNDVALUE(223)</f>
        <v>630</v>
      </c>
      <c r="C73" s="110">
        <v>232201</v>
      </c>
      <c r="D73" s="109">
        <f>_xlfn.COMPOUNDVALUE(224)</f>
        <v>1010</v>
      </c>
      <c r="E73" s="110">
        <v>239259</v>
      </c>
      <c r="F73" s="109">
        <f>_xlfn.COMPOUNDVALUE(225)</f>
        <v>1640</v>
      </c>
      <c r="G73" s="110">
        <v>471460</v>
      </c>
      <c r="H73" s="109">
        <f>_xlfn.COMPOUNDVALUE(226)</f>
        <v>40</v>
      </c>
      <c r="I73" s="111">
        <v>10507</v>
      </c>
      <c r="J73" s="109">
        <v>117</v>
      </c>
      <c r="K73" s="111">
        <v>8461</v>
      </c>
      <c r="L73" s="109">
        <v>1721</v>
      </c>
      <c r="M73" s="111">
        <v>469415</v>
      </c>
      <c r="N73" s="112" t="s">
        <v>127</v>
      </c>
    </row>
    <row r="74" spans="1:14" s="107" customFormat="1" ht="15.75" customHeight="1">
      <c r="A74" s="108" t="s">
        <v>128</v>
      </c>
      <c r="B74" s="109">
        <f>_xlfn.COMPOUNDVALUE(227)</f>
        <v>669</v>
      </c>
      <c r="C74" s="110">
        <v>247082</v>
      </c>
      <c r="D74" s="109">
        <f>_xlfn.COMPOUNDVALUE(228)</f>
        <v>1141</v>
      </c>
      <c r="E74" s="110">
        <v>266463</v>
      </c>
      <c r="F74" s="109">
        <f>_xlfn.COMPOUNDVALUE(229)</f>
        <v>1810</v>
      </c>
      <c r="G74" s="110">
        <v>513545</v>
      </c>
      <c r="H74" s="109">
        <f>_xlfn.COMPOUNDVALUE(230)</f>
        <v>39</v>
      </c>
      <c r="I74" s="111">
        <v>10306</v>
      </c>
      <c r="J74" s="109">
        <v>123</v>
      </c>
      <c r="K74" s="111">
        <v>12104</v>
      </c>
      <c r="L74" s="109">
        <v>1908</v>
      </c>
      <c r="M74" s="111">
        <v>515342</v>
      </c>
      <c r="N74" s="112" t="s">
        <v>128</v>
      </c>
    </row>
    <row r="75" spans="1:14" s="107" customFormat="1" ht="15.75" customHeight="1">
      <c r="A75" s="108" t="s">
        <v>129</v>
      </c>
      <c r="B75" s="109">
        <f>_xlfn.COMPOUNDVALUE(231)</f>
        <v>500</v>
      </c>
      <c r="C75" s="110">
        <v>156437</v>
      </c>
      <c r="D75" s="109">
        <f>_xlfn.COMPOUNDVALUE(232)</f>
        <v>1036</v>
      </c>
      <c r="E75" s="110">
        <v>246492</v>
      </c>
      <c r="F75" s="109">
        <f>_xlfn.COMPOUNDVALUE(233)</f>
        <v>1536</v>
      </c>
      <c r="G75" s="110">
        <v>402929</v>
      </c>
      <c r="H75" s="109">
        <f>_xlfn.COMPOUNDVALUE(234)</f>
        <v>26</v>
      </c>
      <c r="I75" s="111">
        <v>4505</v>
      </c>
      <c r="J75" s="109">
        <v>72</v>
      </c>
      <c r="K75" s="111">
        <v>6880</v>
      </c>
      <c r="L75" s="109">
        <v>1580</v>
      </c>
      <c r="M75" s="111">
        <v>405305</v>
      </c>
      <c r="N75" s="112" t="s">
        <v>129</v>
      </c>
    </row>
    <row r="76" spans="1:14" s="107" customFormat="1" ht="15.75" customHeight="1">
      <c r="A76" s="108" t="s">
        <v>130</v>
      </c>
      <c r="B76" s="109">
        <f>_xlfn.COMPOUNDVALUE(235)</f>
        <v>428</v>
      </c>
      <c r="C76" s="110">
        <v>136040</v>
      </c>
      <c r="D76" s="109">
        <f>_xlfn.COMPOUNDVALUE(236)</f>
        <v>824</v>
      </c>
      <c r="E76" s="110">
        <v>186839</v>
      </c>
      <c r="F76" s="109">
        <f>_xlfn.COMPOUNDVALUE(237)</f>
        <v>1252</v>
      </c>
      <c r="G76" s="110">
        <v>322878</v>
      </c>
      <c r="H76" s="109">
        <f>_xlfn.COMPOUNDVALUE(238)</f>
        <v>28</v>
      </c>
      <c r="I76" s="111">
        <v>6249</v>
      </c>
      <c r="J76" s="109">
        <v>110</v>
      </c>
      <c r="K76" s="111">
        <v>12320</v>
      </c>
      <c r="L76" s="109">
        <v>1315</v>
      </c>
      <c r="M76" s="111">
        <v>328949</v>
      </c>
      <c r="N76" s="112" t="s">
        <v>130</v>
      </c>
    </row>
    <row r="77" spans="1:14" s="107" customFormat="1" ht="15.75" customHeight="1">
      <c r="A77" s="108" t="s">
        <v>131</v>
      </c>
      <c r="B77" s="109">
        <f>_xlfn.COMPOUNDVALUE(239)</f>
        <v>233</v>
      </c>
      <c r="C77" s="110">
        <v>72335</v>
      </c>
      <c r="D77" s="109">
        <f>_xlfn.COMPOUNDVALUE(240)</f>
        <v>413</v>
      </c>
      <c r="E77" s="110">
        <v>98950</v>
      </c>
      <c r="F77" s="109">
        <f>_xlfn.COMPOUNDVALUE(241)</f>
        <v>646</v>
      </c>
      <c r="G77" s="110">
        <v>171285</v>
      </c>
      <c r="H77" s="109">
        <f>_xlfn.COMPOUNDVALUE(242)</f>
        <v>10</v>
      </c>
      <c r="I77" s="111">
        <v>2014</v>
      </c>
      <c r="J77" s="109">
        <v>49</v>
      </c>
      <c r="K77" s="111">
        <v>2180</v>
      </c>
      <c r="L77" s="109">
        <v>666</v>
      </c>
      <c r="M77" s="111">
        <v>171450</v>
      </c>
      <c r="N77" s="112" t="s">
        <v>131</v>
      </c>
    </row>
    <row r="78" spans="1:14" s="107" customFormat="1" ht="15.75" customHeight="1">
      <c r="A78" s="108" t="s">
        <v>132</v>
      </c>
      <c r="B78" s="109">
        <f>_xlfn.COMPOUNDVALUE(243)</f>
        <v>850</v>
      </c>
      <c r="C78" s="110">
        <v>307332</v>
      </c>
      <c r="D78" s="109">
        <f>_xlfn.COMPOUNDVALUE(212)</f>
        <v>2002</v>
      </c>
      <c r="E78" s="110">
        <v>479796</v>
      </c>
      <c r="F78" s="109">
        <f>_xlfn.COMPOUNDVALUE(244)</f>
        <v>2852</v>
      </c>
      <c r="G78" s="110">
        <v>787128</v>
      </c>
      <c r="H78" s="109">
        <f>_xlfn.COMPOUNDVALUE(245)</f>
        <v>50</v>
      </c>
      <c r="I78" s="111">
        <v>10501</v>
      </c>
      <c r="J78" s="109">
        <v>167</v>
      </c>
      <c r="K78" s="111">
        <v>19409</v>
      </c>
      <c r="L78" s="109">
        <v>2982</v>
      </c>
      <c r="M78" s="111">
        <v>796036</v>
      </c>
      <c r="N78" s="112" t="s">
        <v>132</v>
      </c>
    </row>
    <row r="79" spans="1:14" s="107" customFormat="1" ht="15.75" customHeight="1">
      <c r="A79" s="108" t="s">
        <v>133</v>
      </c>
      <c r="B79" s="109">
        <f>_xlfn.COMPOUNDVALUE(246)</f>
        <v>154</v>
      </c>
      <c r="C79" s="110">
        <v>36309</v>
      </c>
      <c r="D79" s="109">
        <f>_xlfn.COMPOUNDVALUE(247)</f>
        <v>220</v>
      </c>
      <c r="E79" s="110">
        <v>47807</v>
      </c>
      <c r="F79" s="109">
        <f>_xlfn.COMPOUNDVALUE(248)</f>
        <v>374</v>
      </c>
      <c r="G79" s="110">
        <v>84116</v>
      </c>
      <c r="H79" s="109">
        <f>_xlfn.COMPOUNDVALUE(249)</f>
        <v>15</v>
      </c>
      <c r="I79" s="111">
        <v>2027</v>
      </c>
      <c r="J79" s="109">
        <v>52</v>
      </c>
      <c r="K79" s="111">
        <v>2773</v>
      </c>
      <c r="L79" s="109">
        <v>395</v>
      </c>
      <c r="M79" s="111">
        <v>84863</v>
      </c>
      <c r="N79" s="112" t="s">
        <v>133</v>
      </c>
    </row>
    <row r="80" spans="1:14" s="107" customFormat="1" ht="15.75" customHeight="1">
      <c r="A80" s="113" t="s">
        <v>134</v>
      </c>
      <c r="B80" s="114">
        <v>6803</v>
      </c>
      <c r="C80" s="115">
        <v>2394290</v>
      </c>
      <c r="D80" s="114">
        <v>12439</v>
      </c>
      <c r="E80" s="115">
        <v>3001995</v>
      </c>
      <c r="F80" s="114">
        <v>19242</v>
      </c>
      <c r="G80" s="115">
        <v>5396284</v>
      </c>
      <c r="H80" s="114">
        <v>390</v>
      </c>
      <c r="I80" s="116">
        <v>89008</v>
      </c>
      <c r="J80" s="114">
        <v>1466</v>
      </c>
      <c r="K80" s="116">
        <v>173981</v>
      </c>
      <c r="L80" s="114">
        <v>20133</v>
      </c>
      <c r="M80" s="116">
        <v>5481257</v>
      </c>
      <c r="N80" s="117" t="s">
        <v>135</v>
      </c>
    </row>
    <row r="81" spans="1:15" s="107" customFormat="1" ht="15.75" customHeight="1" thickBot="1">
      <c r="A81" s="124"/>
      <c r="B81" s="125"/>
      <c r="C81" s="126"/>
      <c r="D81" s="125"/>
      <c r="E81" s="126"/>
      <c r="F81" s="127"/>
      <c r="G81" s="126"/>
      <c r="H81" s="127"/>
      <c r="I81" s="126"/>
      <c r="J81" s="127"/>
      <c r="K81" s="126"/>
      <c r="L81" s="127"/>
      <c r="M81" s="126"/>
      <c r="N81" s="128"/>
      <c r="O81" s="129"/>
    </row>
    <row r="82" spans="1:14" s="107" customFormat="1" ht="15.75" customHeight="1" thickBot="1" thickTop="1">
      <c r="A82" s="130" t="s">
        <v>136</v>
      </c>
      <c r="B82" s="131">
        <v>53276</v>
      </c>
      <c r="C82" s="132">
        <v>21469527</v>
      </c>
      <c r="D82" s="131">
        <v>101588</v>
      </c>
      <c r="E82" s="132">
        <v>25855622</v>
      </c>
      <c r="F82" s="131">
        <v>154864</v>
      </c>
      <c r="G82" s="132">
        <v>47325149</v>
      </c>
      <c r="H82" s="131">
        <v>3358</v>
      </c>
      <c r="I82" s="133">
        <v>1678378</v>
      </c>
      <c r="J82" s="131">
        <v>12266</v>
      </c>
      <c r="K82" s="133">
        <v>1632664</v>
      </c>
      <c r="L82" s="131">
        <v>163877</v>
      </c>
      <c r="M82" s="133">
        <v>47279435</v>
      </c>
      <c r="N82" s="134" t="s">
        <v>137</v>
      </c>
    </row>
    <row r="83" spans="1:14" ht="13.5">
      <c r="A83" s="200" t="s">
        <v>138</v>
      </c>
      <c r="B83" s="200"/>
      <c r="C83" s="200"/>
      <c r="D83" s="200"/>
      <c r="E83" s="200"/>
      <c r="F83" s="200"/>
      <c r="G83" s="200"/>
      <c r="H83" s="200"/>
      <c r="I83" s="200"/>
      <c r="J83" s="135"/>
      <c r="K83" s="135"/>
      <c r="L83" s="88"/>
      <c r="M83" s="88"/>
      <c r="N83" s="88"/>
    </row>
    <row r="85" spans="2:10" ht="13.5">
      <c r="B85" s="136"/>
      <c r="C85" s="136"/>
      <c r="D85" s="136"/>
      <c r="E85" s="136"/>
      <c r="F85" s="136"/>
      <c r="G85" s="136"/>
      <c r="H85" s="136"/>
      <c r="J85" s="136"/>
    </row>
    <row r="86" spans="2:10" ht="13.5">
      <c r="B86" s="136"/>
      <c r="C86" s="136"/>
      <c r="D86" s="136"/>
      <c r="E86" s="136"/>
      <c r="F86" s="136"/>
      <c r="G86" s="136"/>
      <c r="H86" s="136"/>
      <c r="J86" s="136"/>
    </row>
    <row r="87" spans="2:10" ht="13.5">
      <c r="B87" s="136"/>
      <c r="C87" s="136"/>
      <c r="D87" s="136"/>
      <c r="E87" s="136"/>
      <c r="F87" s="136"/>
      <c r="G87" s="136"/>
      <c r="H87" s="136"/>
      <c r="J87" s="136"/>
    </row>
    <row r="88" spans="2:10" ht="13.5">
      <c r="B88" s="136"/>
      <c r="C88" s="136"/>
      <c r="D88" s="136"/>
      <c r="E88" s="136"/>
      <c r="F88" s="136"/>
      <c r="G88" s="136"/>
      <c r="H88" s="136"/>
      <c r="J88" s="136"/>
    </row>
    <row r="89" spans="2:10" ht="13.5">
      <c r="B89" s="136"/>
      <c r="C89" s="136"/>
      <c r="D89" s="136"/>
      <c r="E89" s="136"/>
      <c r="F89" s="136"/>
      <c r="G89" s="136"/>
      <c r="H89" s="136"/>
      <c r="J89" s="136"/>
    </row>
    <row r="90" spans="2:10" ht="13.5">
      <c r="B90" s="136"/>
      <c r="C90" s="136"/>
      <c r="D90" s="136"/>
      <c r="E90" s="136"/>
      <c r="F90" s="136"/>
      <c r="G90" s="136"/>
      <c r="H90" s="136"/>
      <c r="J90" s="136"/>
    </row>
    <row r="91" spans="2:10" ht="13.5">
      <c r="B91" s="136"/>
      <c r="C91" s="136"/>
      <c r="D91" s="136"/>
      <c r="E91" s="136"/>
      <c r="F91" s="136"/>
      <c r="G91" s="136"/>
      <c r="H91" s="136"/>
      <c r="J91" s="136"/>
    </row>
    <row r="92" spans="2:10" ht="13.5">
      <c r="B92" s="136"/>
      <c r="C92" s="136"/>
      <c r="D92" s="136"/>
      <c r="E92" s="136"/>
      <c r="F92" s="136"/>
      <c r="G92" s="136"/>
      <c r="H92" s="136"/>
      <c r="J92" s="136"/>
    </row>
    <row r="93" spans="2:10" ht="13.5">
      <c r="B93" s="136"/>
      <c r="C93" s="136"/>
      <c r="D93" s="136"/>
      <c r="E93" s="136"/>
      <c r="F93" s="136"/>
      <c r="G93" s="136"/>
      <c r="H93" s="136"/>
      <c r="J93" s="136"/>
    </row>
    <row r="94" spans="2:10" ht="13.5">
      <c r="B94" s="136"/>
      <c r="C94" s="136"/>
      <c r="D94" s="136"/>
      <c r="E94" s="136"/>
      <c r="F94" s="136"/>
      <c r="G94" s="136"/>
      <c r="H94" s="136"/>
      <c r="J94" s="136"/>
    </row>
    <row r="95" spans="2:10" ht="13.5">
      <c r="B95" s="136"/>
      <c r="C95" s="136"/>
      <c r="D95" s="136"/>
      <c r="E95" s="136"/>
      <c r="F95" s="136"/>
      <c r="G95" s="136"/>
      <c r="H95" s="136"/>
      <c r="J95" s="136"/>
    </row>
    <row r="96" spans="2:10" ht="13.5">
      <c r="B96" s="136"/>
      <c r="C96" s="136"/>
      <c r="D96" s="136"/>
      <c r="E96" s="136"/>
      <c r="F96" s="136"/>
      <c r="G96" s="136"/>
      <c r="H96" s="136"/>
      <c r="J96" s="136"/>
    </row>
    <row r="97" spans="2:10" ht="13.5">
      <c r="B97" s="136"/>
      <c r="C97" s="136"/>
      <c r="D97" s="136"/>
      <c r="E97" s="136"/>
      <c r="F97" s="136"/>
      <c r="G97" s="136"/>
      <c r="H97" s="136"/>
      <c r="J97" s="136"/>
    </row>
  </sheetData>
  <sheetProtection/>
  <mergeCells count="11">
    <mergeCell ref="A2:G2"/>
    <mergeCell ref="A3:A5"/>
    <mergeCell ref="B3:G3"/>
    <mergeCell ref="H3:I4"/>
    <mergeCell ref="J3:K4"/>
    <mergeCell ref="N3:N5"/>
    <mergeCell ref="B4:C4"/>
    <mergeCell ref="D4:E4"/>
    <mergeCell ref="F4:G4"/>
    <mergeCell ref="A83:I83"/>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83"/>
  <sheetViews>
    <sheetView zoomScale="85" zoomScaleNormal="85" zoomScalePageLayoutView="0" workbookViewId="0" topLeftCell="A1">
      <selection activeCell="A1" sqref="A1"/>
    </sheetView>
  </sheetViews>
  <sheetFormatPr defaultColWidth="9.00390625" defaultRowHeight="13.5"/>
  <cols>
    <col min="1" max="1" width="11.12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3" ht="13.5">
      <c r="A1" s="87" t="s">
        <v>139</v>
      </c>
      <c r="B1" s="87"/>
      <c r="C1" s="87"/>
      <c r="D1" s="87"/>
      <c r="E1" s="87"/>
      <c r="F1" s="87"/>
      <c r="G1" s="87"/>
      <c r="H1" s="87"/>
      <c r="I1" s="87"/>
      <c r="J1" s="87"/>
      <c r="K1" s="87"/>
      <c r="L1" s="88"/>
      <c r="M1" s="88"/>
    </row>
    <row r="2" spans="1:13" ht="14.25" thickBot="1">
      <c r="A2" s="210" t="s">
        <v>140</v>
      </c>
      <c r="B2" s="210"/>
      <c r="C2" s="210"/>
      <c r="D2" s="210"/>
      <c r="E2" s="210"/>
      <c r="F2" s="210"/>
      <c r="G2" s="210"/>
      <c r="H2" s="210"/>
      <c r="I2" s="210"/>
      <c r="J2" s="135"/>
      <c r="K2" s="135"/>
      <c r="L2" s="88"/>
      <c r="M2" s="88"/>
    </row>
    <row r="3" spans="1:14" ht="19.5" customHeight="1">
      <c r="A3" s="205" t="s">
        <v>46</v>
      </c>
      <c r="B3" s="208" t="s">
        <v>47</v>
      </c>
      <c r="C3" s="208"/>
      <c r="D3" s="208"/>
      <c r="E3" s="208"/>
      <c r="F3" s="208"/>
      <c r="G3" s="208"/>
      <c r="H3" s="201" t="s">
        <v>13</v>
      </c>
      <c r="I3" s="202"/>
      <c r="J3" s="209" t="s">
        <v>48</v>
      </c>
      <c r="K3" s="202"/>
      <c r="L3" s="201" t="s">
        <v>49</v>
      </c>
      <c r="M3" s="202"/>
      <c r="N3" s="194" t="s">
        <v>141</v>
      </c>
    </row>
    <row r="4" spans="1:14" ht="17.25" customHeight="1">
      <c r="A4" s="206"/>
      <c r="B4" s="198" t="s">
        <v>18</v>
      </c>
      <c r="C4" s="199"/>
      <c r="D4" s="198" t="s">
        <v>51</v>
      </c>
      <c r="E4" s="199"/>
      <c r="F4" s="198" t="s">
        <v>52</v>
      </c>
      <c r="G4" s="199"/>
      <c r="H4" s="198"/>
      <c r="I4" s="203"/>
      <c r="J4" s="198"/>
      <c r="K4" s="203"/>
      <c r="L4" s="198"/>
      <c r="M4" s="203"/>
      <c r="N4" s="195"/>
    </row>
    <row r="5" spans="1:14" ht="28.5" customHeight="1">
      <c r="A5" s="207"/>
      <c r="B5" s="90" t="s">
        <v>53</v>
      </c>
      <c r="C5" s="91" t="s">
        <v>54</v>
      </c>
      <c r="D5" s="90" t="s">
        <v>53</v>
      </c>
      <c r="E5" s="91" t="s">
        <v>54</v>
      </c>
      <c r="F5" s="90" t="s">
        <v>53</v>
      </c>
      <c r="G5" s="92" t="s">
        <v>55</v>
      </c>
      <c r="H5" s="90" t="s">
        <v>53</v>
      </c>
      <c r="I5" s="93" t="s">
        <v>56</v>
      </c>
      <c r="J5" s="90" t="s">
        <v>53</v>
      </c>
      <c r="K5" s="93" t="s">
        <v>57</v>
      </c>
      <c r="L5" s="90" t="s">
        <v>53</v>
      </c>
      <c r="M5" s="94" t="s">
        <v>58</v>
      </c>
      <c r="N5" s="196"/>
    </row>
    <row r="6" spans="1:14" s="137"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ht="15.75" customHeight="1">
      <c r="A7" s="102" t="s">
        <v>59</v>
      </c>
      <c r="B7" s="103">
        <f>_xlfn.COMPOUNDVALUE(250)</f>
        <v>4409</v>
      </c>
      <c r="C7" s="104">
        <v>23790812</v>
      </c>
      <c r="D7" s="103">
        <f>_xlfn.COMPOUNDVALUE(251)</f>
        <v>1920</v>
      </c>
      <c r="E7" s="104">
        <v>761742</v>
      </c>
      <c r="F7" s="103">
        <f>_xlfn.COMPOUNDVALUE(252)</f>
        <v>6329</v>
      </c>
      <c r="G7" s="104">
        <v>24552554</v>
      </c>
      <c r="H7" s="103">
        <f>_xlfn.COMPOUNDVALUE(253)</f>
        <v>240</v>
      </c>
      <c r="I7" s="105">
        <v>1101723</v>
      </c>
      <c r="J7" s="103">
        <v>451</v>
      </c>
      <c r="K7" s="105">
        <v>9451</v>
      </c>
      <c r="L7" s="103">
        <v>6656</v>
      </c>
      <c r="M7" s="105">
        <v>23460282</v>
      </c>
      <c r="N7" s="106" t="s">
        <v>59</v>
      </c>
    </row>
    <row r="8" spans="1:14" ht="15.75" customHeight="1">
      <c r="A8" s="108" t="s">
        <v>60</v>
      </c>
      <c r="B8" s="109">
        <f>_xlfn.COMPOUNDVALUE(254)</f>
        <v>1734</v>
      </c>
      <c r="C8" s="110">
        <v>13919534</v>
      </c>
      <c r="D8" s="109">
        <f>_xlfn.COMPOUNDVALUE(255)</f>
        <v>820</v>
      </c>
      <c r="E8" s="110">
        <v>331363</v>
      </c>
      <c r="F8" s="109">
        <f>_xlfn.COMPOUNDVALUE(256)</f>
        <v>2554</v>
      </c>
      <c r="G8" s="110">
        <v>14250898</v>
      </c>
      <c r="H8" s="109">
        <f>_xlfn.COMPOUNDVALUE(257)</f>
        <v>73</v>
      </c>
      <c r="I8" s="111">
        <v>175496</v>
      </c>
      <c r="J8" s="109">
        <v>141</v>
      </c>
      <c r="K8" s="111">
        <v>64308</v>
      </c>
      <c r="L8" s="109">
        <v>2653</v>
      </c>
      <c r="M8" s="111">
        <v>14139709</v>
      </c>
      <c r="N8" s="112" t="s">
        <v>60</v>
      </c>
    </row>
    <row r="9" spans="1:14" ht="15.75" customHeight="1">
      <c r="A9" s="108" t="s">
        <v>61</v>
      </c>
      <c r="B9" s="109">
        <f>_xlfn.COMPOUNDVALUE(258)</f>
        <v>4200</v>
      </c>
      <c r="C9" s="110">
        <v>20682218</v>
      </c>
      <c r="D9" s="109">
        <f>_xlfn.COMPOUNDVALUE(259)</f>
        <v>1965</v>
      </c>
      <c r="E9" s="110">
        <v>762987</v>
      </c>
      <c r="F9" s="109">
        <f>_xlfn.COMPOUNDVALUE(260)</f>
        <v>6165</v>
      </c>
      <c r="G9" s="110">
        <v>21445205</v>
      </c>
      <c r="H9" s="109">
        <f>_xlfn.COMPOUNDVALUE(261)</f>
        <v>280</v>
      </c>
      <c r="I9" s="111">
        <v>1847151</v>
      </c>
      <c r="J9" s="109">
        <v>449</v>
      </c>
      <c r="K9" s="111">
        <v>44493</v>
      </c>
      <c r="L9" s="109">
        <v>6516</v>
      </c>
      <c r="M9" s="111">
        <v>19642548</v>
      </c>
      <c r="N9" s="112" t="s">
        <v>61</v>
      </c>
    </row>
    <row r="10" spans="1:14" ht="15.75" customHeight="1">
      <c r="A10" s="108" t="s">
        <v>62</v>
      </c>
      <c r="B10" s="109">
        <f>_xlfn.COMPOUNDVALUE(262)</f>
        <v>2393</v>
      </c>
      <c r="C10" s="110">
        <v>8212245</v>
      </c>
      <c r="D10" s="109">
        <f>_xlfn.COMPOUNDVALUE(263)</f>
        <v>1128</v>
      </c>
      <c r="E10" s="110">
        <v>428056</v>
      </c>
      <c r="F10" s="109">
        <f>_xlfn.COMPOUNDVALUE(264)</f>
        <v>3521</v>
      </c>
      <c r="G10" s="110">
        <v>8640300</v>
      </c>
      <c r="H10" s="109">
        <f>_xlfn.COMPOUNDVALUE(265)</f>
        <v>134</v>
      </c>
      <c r="I10" s="111">
        <v>264642</v>
      </c>
      <c r="J10" s="109">
        <v>183</v>
      </c>
      <c r="K10" s="111">
        <v>25315</v>
      </c>
      <c r="L10" s="109">
        <v>3697</v>
      </c>
      <c r="M10" s="111">
        <v>8400973</v>
      </c>
      <c r="N10" s="112" t="s">
        <v>62</v>
      </c>
    </row>
    <row r="11" spans="1:14" ht="15.75" customHeight="1">
      <c r="A11" s="108" t="s">
        <v>63</v>
      </c>
      <c r="B11" s="109">
        <f>_xlfn.COMPOUNDVALUE(266)</f>
        <v>3309</v>
      </c>
      <c r="C11" s="110">
        <v>10949784</v>
      </c>
      <c r="D11" s="109">
        <f>_xlfn.COMPOUNDVALUE(267)</f>
        <v>1587</v>
      </c>
      <c r="E11" s="110">
        <v>624765</v>
      </c>
      <c r="F11" s="109">
        <f>_xlfn.COMPOUNDVALUE(268)</f>
        <v>4896</v>
      </c>
      <c r="G11" s="110">
        <v>11574550</v>
      </c>
      <c r="H11" s="109">
        <f>_xlfn.COMPOUNDVALUE(269)</f>
        <v>151</v>
      </c>
      <c r="I11" s="111">
        <v>244353</v>
      </c>
      <c r="J11" s="109">
        <v>220</v>
      </c>
      <c r="K11" s="111">
        <v>23912</v>
      </c>
      <c r="L11" s="109">
        <v>5082</v>
      </c>
      <c r="M11" s="111">
        <v>11354109</v>
      </c>
      <c r="N11" s="112" t="s">
        <v>63</v>
      </c>
    </row>
    <row r="12" spans="1:14" ht="15.75" customHeight="1">
      <c r="A12" s="108" t="s">
        <v>65</v>
      </c>
      <c r="B12" s="109">
        <f>_xlfn.COMPOUNDVALUE(270)</f>
        <v>2664</v>
      </c>
      <c r="C12" s="110">
        <v>6983671</v>
      </c>
      <c r="D12" s="109">
        <f>_xlfn.COMPOUNDVALUE(271)</f>
        <v>1393</v>
      </c>
      <c r="E12" s="110">
        <v>545909</v>
      </c>
      <c r="F12" s="109">
        <f>_xlfn.COMPOUNDVALUE(272)</f>
        <v>4057</v>
      </c>
      <c r="G12" s="110">
        <v>7529580</v>
      </c>
      <c r="H12" s="109">
        <f>_xlfn.COMPOUNDVALUE(273)</f>
        <v>211</v>
      </c>
      <c r="I12" s="111">
        <v>355670</v>
      </c>
      <c r="J12" s="109">
        <v>253</v>
      </c>
      <c r="K12" s="111">
        <v>18811</v>
      </c>
      <c r="L12" s="109">
        <v>4306</v>
      </c>
      <c r="M12" s="111">
        <v>7192720</v>
      </c>
      <c r="N12" s="112" t="s">
        <v>65</v>
      </c>
    </row>
    <row r="13" spans="1:14" ht="15.75" customHeight="1">
      <c r="A13" s="108" t="s">
        <v>66</v>
      </c>
      <c r="B13" s="109">
        <f>_xlfn.COMPOUNDVALUE(274)</f>
        <v>2327</v>
      </c>
      <c r="C13" s="110">
        <v>9349689</v>
      </c>
      <c r="D13" s="109">
        <f>_xlfn.COMPOUNDVALUE(275)</f>
        <v>1055</v>
      </c>
      <c r="E13" s="110">
        <v>415766</v>
      </c>
      <c r="F13" s="109">
        <f>_xlfn.COMPOUNDVALUE(276)</f>
        <v>3382</v>
      </c>
      <c r="G13" s="110">
        <v>9765455</v>
      </c>
      <c r="H13" s="109">
        <f>_xlfn.COMPOUNDVALUE(277)</f>
        <v>113</v>
      </c>
      <c r="I13" s="111">
        <v>1225413</v>
      </c>
      <c r="J13" s="109">
        <v>171</v>
      </c>
      <c r="K13" s="111">
        <v>34841</v>
      </c>
      <c r="L13" s="109">
        <v>3519</v>
      </c>
      <c r="M13" s="111">
        <v>8574883</v>
      </c>
      <c r="N13" s="112" t="s">
        <v>66</v>
      </c>
    </row>
    <row r="14" spans="1:14" ht="15.75" customHeight="1">
      <c r="A14" s="108" t="s">
        <v>67</v>
      </c>
      <c r="B14" s="109">
        <f>_xlfn.COMPOUNDVALUE(278)</f>
        <v>2438</v>
      </c>
      <c r="C14" s="110">
        <v>9242290</v>
      </c>
      <c r="D14" s="109">
        <f>_xlfn.COMPOUNDVALUE(279)</f>
        <v>894</v>
      </c>
      <c r="E14" s="110">
        <v>393328</v>
      </c>
      <c r="F14" s="109">
        <f>_xlfn.COMPOUNDVALUE(280)</f>
        <v>3332</v>
      </c>
      <c r="G14" s="110">
        <v>9635618</v>
      </c>
      <c r="H14" s="109">
        <f>_xlfn.COMPOUNDVALUE(281)</f>
        <v>127</v>
      </c>
      <c r="I14" s="111">
        <v>476965</v>
      </c>
      <c r="J14" s="109">
        <v>198</v>
      </c>
      <c r="K14" s="111">
        <v>40694</v>
      </c>
      <c r="L14" s="109">
        <v>3500</v>
      </c>
      <c r="M14" s="111">
        <v>9199347</v>
      </c>
      <c r="N14" s="112" t="s">
        <v>67</v>
      </c>
    </row>
    <row r="15" spans="1:14" ht="15.75" customHeight="1">
      <c r="A15" s="113" t="s">
        <v>142</v>
      </c>
      <c r="B15" s="114">
        <v>23474</v>
      </c>
      <c r="C15" s="115">
        <v>103130244</v>
      </c>
      <c r="D15" s="114">
        <v>10762</v>
      </c>
      <c r="E15" s="115">
        <v>4263916</v>
      </c>
      <c r="F15" s="114">
        <v>34236</v>
      </c>
      <c r="G15" s="115">
        <v>107394160</v>
      </c>
      <c r="H15" s="114">
        <v>1329</v>
      </c>
      <c r="I15" s="116">
        <v>5691413</v>
      </c>
      <c r="J15" s="114">
        <v>2066</v>
      </c>
      <c r="K15" s="116">
        <v>261825</v>
      </c>
      <c r="L15" s="114">
        <v>35929</v>
      </c>
      <c r="M15" s="116">
        <v>101964572</v>
      </c>
      <c r="N15" s="117" t="s">
        <v>69</v>
      </c>
    </row>
    <row r="16" spans="1:14" ht="15.75" customHeight="1">
      <c r="A16" s="118"/>
      <c r="B16" s="119"/>
      <c r="C16" s="120"/>
      <c r="D16" s="119"/>
      <c r="E16" s="120"/>
      <c r="F16" s="121"/>
      <c r="G16" s="120"/>
      <c r="H16" s="121"/>
      <c r="I16" s="120"/>
      <c r="J16" s="121"/>
      <c r="K16" s="120"/>
      <c r="L16" s="121"/>
      <c r="M16" s="120"/>
      <c r="N16" s="122"/>
    </row>
    <row r="17" spans="1:14" ht="15.75" customHeight="1">
      <c r="A17" s="102" t="s">
        <v>70</v>
      </c>
      <c r="B17" s="103">
        <f>_xlfn.COMPOUNDVALUE(282)</f>
        <v>5640</v>
      </c>
      <c r="C17" s="104">
        <v>26448278</v>
      </c>
      <c r="D17" s="103">
        <f>_xlfn.COMPOUNDVALUE(283)</f>
        <v>2919</v>
      </c>
      <c r="E17" s="104">
        <v>1065112</v>
      </c>
      <c r="F17" s="103">
        <f>_xlfn.COMPOUNDVALUE(284)</f>
        <v>8559</v>
      </c>
      <c r="G17" s="104">
        <v>27513391</v>
      </c>
      <c r="H17" s="103">
        <f>_xlfn.COMPOUNDVALUE(285)</f>
        <v>199</v>
      </c>
      <c r="I17" s="105">
        <v>585334</v>
      </c>
      <c r="J17" s="103">
        <v>439</v>
      </c>
      <c r="K17" s="105">
        <v>-55441</v>
      </c>
      <c r="L17" s="103">
        <v>8814</v>
      </c>
      <c r="M17" s="105">
        <v>26872616</v>
      </c>
      <c r="N17" s="123" t="s">
        <v>70</v>
      </c>
    </row>
    <row r="18" spans="1:14" ht="15.75" customHeight="1">
      <c r="A18" s="108" t="s">
        <v>71</v>
      </c>
      <c r="B18" s="109">
        <f>_xlfn.COMPOUNDVALUE(286)</f>
        <v>1664</v>
      </c>
      <c r="C18" s="110">
        <v>6111593</v>
      </c>
      <c r="D18" s="109">
        <f>_xlfn.COMPOUNDVALUE(287)</f>
        <v>957</v>
      </c>
      <c r="E18" s="110">
        <v>333886</v>
      </c>
      <c r="F18" s="109">
        <f>_xlfn.COMPOUNDVALUE(288)</f>
        <v>2621</v>
      </c>
      <c r="G18" s="110">
        <v>6445480</v>
      </c>
      <c r="H18" s="109">
        <f>_xlfn.COMPOUNDVALUE(289)</f>
        <v>72</v>
      </c>
      <c r="I18" s="111">
        <v>74764</v>
      </c>
      <c r="J18" s="109">
        <v>147</v>
      </c>
      <c r="K18" s="111">
        <v>40951</v>
      </c>
      <c r="L18" s="109">
        <v>2721</v>
      </c>
      <c r="M18" s="111">
        <v>6411667</v>
      </c>
      <c r="N18" s="112" t="s">
        <v>71</v>
      </c>
    </row>
    <row r="19" spans="1:14" ht="15.75" customHeight="1">
      <c r="A19" s="108" t="s">
        <v>72</v>
      </c>
      <c r="B19" s="109">
        <f>_xlfn.COMPOUNDVALUE(290)</f>
        <v>3678</v>
      </c>
      <c r="C19" s="110">
        <v>14079977</v>
      </c>
      <c r="D19" s="109">
        <f>_xlfn.COMPOUNDVALUE(291)</f>
        <v>2018</v>
      </c>
      <c r="E19" s="110">
        <v>759002</v>
      </c>
      <c r="F19" s="109">
        <f>_xlfn.COMPOUNDVALUE(292)</f>
        <v>5696</v>
      </c>
      <c r="G19" s="110">
        <v>14838979</v>
      </c>
      <c r="H19" s="109">
        <f>_xlfn.COMPOUNDVALUE(293)</f>
        <v>208</v>
      </c>
      <c r="I19" s="111">
        <v>974046</v>
      </c>
      <c r="J19" s="109">
        <v>443</v>
      </c>
      <c r="K19" s="111">
        <v>40344</v>
      </c>
      <c r="L19" s="109">
        <v>5941</v>
      </c>
      <c r="M19" s="111">
        <v>13905277</v>
      </c>
      <c r="N19" s="112" t="s">
        <v>72</v>
      </c>
    </row>
    <row r="20" spans="1:14" ht="15.75" customHeight="1">
      <c r="A20" s="108" t="s">
        <v>73</v>
      </c>
      <c r="B20" s="109">
        <f>_xlfn.COMPOUNDVALUE(294)</f>
        <v>1178</v>
      </c>
      <c r="C20" s="110">
        <v>3746619</v>
      </c>
      <c r="D20" s="109">
        <f>_xlfn.COMPOUNDVALUE(295)</f>
        <v>655</v>
      </c>
      <c r="E20" s="110">
        <v>236179</v>
      </c>
      <c r="F20" s="109">
        <f>_xlfn.COMPOUNDVALUE(296)</f>
        <v>1833</v>
      </c>
      <c r="G20" s="110">
        <v>3982798</v>
      </c>
      <c r="H20" s="109">
        <f>_xlfn.COMPOUNDVALUE(297)</f>
        <v>50</v>
      </c>
      <c r="I20" s="111">
        <v>60437</v>
      </c>
      <c r="J20" s="109">
        <v>104</v>
      </c>
      <c r="K20" s="111">
        <v>13379</v>
      </c>
      <c r="L20" s="109">
        <v>1899</v>
      </c>
      <c r="M20" s="111">
        <v>3935740</v>
      </c>
      <c r="N20" s="112" t="s">
        <v>73</v>
      </c>
    </row>
    <row r="21" spans="1:14" ht="15.75" customHeight="1">
      <c r="A21" s="108" t="s">
        <v>74</v>
      </c>
      <c r="B21" s="109">
        <f>_xlfn.COMPOUNDVALUE(298)</f>
        <v>2056</v>
      </c>
      <c r="C21" s="110">
        <v>5680137</v>
      </c>
      <c r="D21" s="109">
        <f>_xlfn.COMPOUNDVALUE(299)</f>
        <v>1179</v>
      </c>
      <c r="E21" s="110">
        <v>394250</v>
      </c>
      <c r="F21" s="109">
        <f>_xlfn.COMPOUNDVALUE(300)</f>
        <v>3235</v>
      </c>
      <c r="G21" s="110">
        <v>6074387</v>
      </c>
      <c r="H21" s="109">
        <f>_xlfn.COMPOUNDVALUE(301)</f>
        <v>85</v>
      </c>
      <c r="I21" s="111">
        <v>200978</v>
      </c>
      <c r="J21" s="109">
        <v>188</v>
      </c>
      <c r="K21" s="111">
        <v>8659</v>
      </c>
      <c r="L21" s="109">
        <v>3342</v>
      </c>
      <c r="M21" s="111">
        <v>5882068</v>
      </c>
      <c r="N21" s="112" t="s">
        <v>74</v>
      </c>
    </row>
    <row r="22" spans="1:14" ht="15.75" customHeight="1">
      <c r="A22" s="108" t="s">
        <v>75</v>
      </c>
      <c r="B22" s="109">
        <f>_xlfn.COMPOUNDVALUE(302)</f>
        <v>1133</v>
      </c>
      <c r="C22" s="110">
        <v>5201236</v>
      </c>
      <c r="D22" s="109">
        <f>_xlfn.COMPOUNDVALUE(303)</f>
        <v>644</v>
      </c>
      <c r="E22" s="110">
        <v>235251</v>
      </c>
      <c r="F22" s="109">
        <f>_xlfn.COMPOUNDVALUE(304)</f>
        <v>1777</v>
      </c>
      <c r="G22" s="110">
        <v>5436487</v>
      </c>
      <c r="H22" s="109">
        <f>_xlfn.COMPOUNDVALUE(305)</f>
        <v>39</v>
      </c>
      <c r="I22" s="111">
        <v>89232</v>
      </c>
      <c r="J22" s="109">
        <v>155</v>
      </c>
      <c r="K22" s="111">
        <v>33279</v>
      </c>
      <c r="L22" s="109">
        <v>1833</v>
      </c>
      <c r="M22" s="111">
        <v>5380534</v>
      </c>
      <c r="N22" s="112" t="s">
        <v>75</v>
      </c>
    </row>
    <row r="23" spans="1:14" ht="15.75" customHeight="1">
      <c r="A23" s="108" t="s">
        <v>76</v>
      </c>
      <c r="B23" s="109">
        <f>_xlfn.COMPOUNDVALUE(306)</f>
        <v>1952</v>
      </c>
      <c r="C23" s="110">
        <v>6069238</v>
      </c>
      <c r="D23" s="109">
        <f>_xlfn.COMPOUNDVALUE(307)</f>
        <v>1007</v>
      </c>
      <c r="E23" s="110">
        <v>367228</v>
      </c>
      <c r="F23" s="109">
        <f>_xlfn.COMPOUNDVALUE(308)</f>
        <v>2959</v>
      </c>
      <c r="G23" s="110">
        <v>6436465</v>
      </c>
      <c r="H23" s="109">
        <f>_xlfn.COMPOUNDVALUE(309)</f>
        <v>108</v>
      </c>
      <c r="I23" s="111">
        <v>1530559</v>
      </c>
      <c r="J23" s="109">
        <v>177</v>
      </c>
      <c r="K23" s="111">
        <v>-13588503</v>
      </c>
      <c r="L23" s="109">
        <v>3099</v>
      </c>
      <c r="M23" s="111">
        <v>-8682596</v>
      </c>
      <c r="N23" s="112" t="s">
        <v>76</v>
      </c>
    </row>
    <row r="24" spans="1:14" ht="15.75" customHeight="1">
      <c r="A24" s="108" t="s">
        <v>77</v>
      </c>
      <c r="B24" s="109">
        <f>_xlfn.COMPOUNDVALUE(310)</f>
        <v>1211</v>
      </c>
      <c r="C24" s="110">
        <v>3316102</v>
      </c>
      <c r="D24" s="109">
        <f>_xlfn.COMPOUNDVALUE(311)</f>
        <v>677</v>
      </c>
      <c r="E24" s="110">
        <v>250288</v>
      </c>
      <c r="F24" s="109">
        <f>_xlfn.COMPOUNDVALUE(312)</f>
        <v>1888</v>
      </c>
      <c r="G24" s="110">
        <v>3566390</v>
      </c>
      <c r="H24" s="109">
        <f>_xlfn.COMPOUNDVALUE(313)</f>
        <v>66</v>
      </c>
      <c r="I24" s="111">
        <v>420119</v>
      </c>
      <c r="J24" s="109">
        <v>132</v>
      </c>
      <c r="K24" s="111">
        <v>7424</v>
      </c>
      <c r="L24" s="109">
        <v>1964</v>
      </c>
      <c r="M24" s="111">
        <v>3153694</v>
      </c>
      <c r="N24" s="112" t="s">
        <v>77</v>
      </c>
    </row>
    <row r="25" spans="1:14" ht="15.75" customHeight="1">
      <c r="A25" s="113" t="s">
        <v>143</v>
      </c>
      <c r="B25" s="114">
        <v>18512</v>
      </c>
      <c r="C25" s="115">
        <v>70653181</v>
      </c>
      <c r="D25" s="114">
        <v>10056</v>
      </c>
      <c r="E25" s="115">
        <v>3641194</v>
      </c>
      <c r="F25" s="114">
        <v>28568</v>
      </c>
      <c r="G25" s="115">
        <v>74294376</v>
      </c>
      <c r="H25" s="114">
        <v>827</v>
      </c>
      <c r="I25" s="116">
        <v>3935469</v>
      </c>
      <c r="J25" s="114">
        <v>1785</v>
      </c>
      <c r="K25" s="116">
        <v>-13499909</v>
      </c>
      <c r="L25" s="114">
        <v>29613</v>
      </c>
      <c r="M25" s="116">
        <v>56858998</v>
      </c>
      <c r="N25" s="117" t="s">
        <v>79</v>
      </c>
    </row>
    <row r="26" spans="1:14" ht="15.75" customHeight="1">
      <c r="A26" s="118"/>
      <c r="B26" s="119"/>
      <c r="C26" s="120"/>
      <c r="D26" s="119"/>
      <c r="E26" s="120"/>
      <c r="F26" s="121"/>
      <c r="G26" s="120"/>
      <c r="H26" s="121"/>
      <c r="I26" s="120"/>
      <c r="J26" s="121"/>
      <c r="K26" s="120"/>
      <c r="L26" s="121"/>
      <c r="M26" s="120"/>
      <c r="N26" s="122"/>
    </row>
    <row r="27" spans="1:14" ht="15.75" customHeight="1">
      <c r="A27" s="102" t="s">
        <v>80</v>
      </c>
      <c r="B27" s="103">
        <f>_xlfn.COMPOUNDVALUE(314)</f>
        <v>3660</v>
      </c>
      <c r="C27" s="104">
        <v>19740329</v>
      </c>
      <c r="D27" s="103">
        <f>_xlfn.COMPOUNDVALUE(315)</f>
        <v>1839</v>
      </c>
      <c r="E27" s="104">
        <v>660989</v>
      </c>
      <c r="F27" s="103">
        <f>_xlfn.COMPOUNDVALUE(316)</f>
        <v>5499</v>
      </c>
      <c r="G27" s="104">
        <v>20401318</v>
      </c>
      <c r="H27" s="103">
        <f>_xlfn.COMPOUNDVALUE(317)</f>
        <v>222</v>
      </c>
      <c r="I27" s="105">
        <v>361512</v>
      </c>
      <c r="J27" s="103">
        <v>396</v>
      </c>
      <c r="K27" s="105">
        <v>42194</v>
      </c>
      <c r="L27" s="103">
        <v>5768</v>
      </c>
      <c r="M27" s="105">
        <v>20082000</v>
      </c>
      <c r="N27" s="123" t="s">
        <v>80</v>
      </c>
    </row>
    <row r="28" spans="1:14" ht="15.75" customHeight="1">
      <c r="A28" s="102" t="s">
        <v>81</v>
      </c>
      <c r="B28" s="103">
        <f>_xlfn.COMPOUNDVALUE(318)</f>
        <v>5117</v>
      </c>
      <c r="C28" s="104">
        <v>27572527</v>
      </c>
      <c r="D28" s="103">
        <f>_xlfn.COMPOUNDVALUE(319)</f>
        <v>2717</v>
      </c>
      <c r="E28" s="104">
        <v>985730</v>
      </c>
      <c r="F28" s="103">
        <f>_xlfn.COMPOUNDVALUE(320)</f>
        <v>7834</v>
      </c>
      <c r="G28" s="104">
        <v>28558258</v>
      </c>
      <c r="H28" s="103">
        <f>_xlfn.COMPOUNDVALUE(321)</f>
        <v>251</v>
      </c>
      <c r="I28" s="105">
        <v>2860355</v>
      </c>
      <c r="J28" s="103">
        <v>455</v>
      </c>
      <c r="K28" s="105">
        <v>63307</v>
      </c>
      <c r="L28" s="103">
        <v>8134</v>
      </c>
      <c r="M28" s="105">
        <v>25761209</v>
      </c>
      <c r="N28" s="106" t="s">
        <v>81</v>
      </c>
    </row>
    <row r="29" spans="1:14" ht="15.75" customHeight="1">
      <c r="A29" s="108" t="s">
        <v>82</v>
      </c>
      <c r="B29" s="109">
        <f>_xlfn.COMPOUNDVALUE(322)</f>
        <v>1821</v>
      </c>
      <c r="C29" s="110">
        <v>6150819</v>
      </c>
      <c r="D29" s="109">
        <f>_xlfn.COMPOUNDVALUE(323)</f>
        <v>843</v>
      </c>
      <c r="E29" s="110">
        <v>286807</v>
      </c>
      <c r="F29" s="109">
        <f>_xlfn.COMPOUNDVALUE(324)</f>
        <v>2664</v>
      </c>
      <c r="G29" s="110">
        <v>6437626</v>
      </c>
      <c r="H29" s="109">
        <f>_xlfn.COMPOUNDVALUE(325)</f>
        <v>95</v>
      </c>
      <c r="I29" s="111">
        <v>736167</v>
      </c>
      <c r="J29" s="109">
        <v>134</v>
      </c>
      <c r="K29" s="111">
        <v>11292</v>
      </c>
      <c r="L29" s="109">
        <v>2776</v>
      </c>
      <c r="M29" s="111">
        <v>5712750</v>
      </c>
      <c r="N29" s="112" t="s">
        <v>82</v>
      </c>
    </row>
    <row r="30" spans="1:14" ht="15.75" customHeight="1">
      <c r="A30" s="108" t="s">
        <v>83</v>
      </c>
      <c r="B30" s="109">
        <f>_xlfn.COMPOUNDVALUE(326)</f>
        <v>2281</v>
      </c>
      <c r="C30" s="110">
        <v>8505761</v>
      </c>
      <c r="D30" s="109">
        <f>_xlfn.COMPOUNDVALUE(327)</f>
        <v>1027</v>
      </c>
      <c r="E30" s="110">
        <v>388569</v>
      </c>
      <c r="F30" s="109">
        <f>_xlfn.COMPOUNDVALUE(328)</f>
        <v>3308</v>
      </c>
      <c r="G30" s="110">
        <v>8894330</v>
      </c>
      <c r="H30" s="109">
        <f>_xlfn.COMPOUNDVALUE(329)</f>
        <v>156</v>
      </c>
      <c r="I30" s="111">
        <v>1850124</v>
      </c>
      <c r="J30" s="109">
        <v>224</v>
      </c>
      <c r="K30" s="111">
        <v>47880</v>
      </c>
      <c r="L30" s="109">
        <v>3485</v>
      </c>
      <c r="M30" s="111">
        <v>7092086</v>
      </c>
      <c r="N30" s="112" t="s">
        <v>83</v>
      </c>
    </row>
    <row r="31" spans="1:14" ht="15.75" customHeight="1">
      <c r="A31" s="108" t="s">
        <v>84</v>
      </c>
      <c r="B31" s="109">
        <f>_xlfn.COMPOUNDVALUE(330)</f>
        <v>889</v>
      </c>
      <c r="C31" s="110">
        <v>2224253</v>
      </c>
      <c r="D31" s="109">
        <f>_xlfn.COMPOUNDVALUE(331)</f>
        <v>409</v>
      </c>
      <c r="E31" s="110">
        <v>137272</v>
      </c>
      <c r="F31" s="109">
        <f>_xlfn.COMPOUNDVALUE(332)</f>
        <v>1298</v>
      </c>
      <c r="G31" s="110">
        <v>2361525</v>
      </c>
      <c r="H31" s="109">
        <f>_xlfn.COMPOUNDVALUE(333)</f>
        <v>26</v>
      </c>
      <c r="I31" s="111">
        <v>14073</v>
      </c>
      <c r="J31" s="109">
        <v>78</v>
      </c>
      <c r="K31" s="111">
        <v>9295</v>
      </c>
      <c r="L31" s="109">
        <v>1332</v>
      </c>
      <c r="M31" s="111">
        <v>2356746</v>
      </c>
      <c r="N31" s="112" t="s">
        <v>84</v>
      </c>
    </row>
    <row r="32" spans="1:14" ht="15.75" customHeight="1">
      <c r="A32" s="108" t="s">
        <v>85</v>
      </c>
      <c r="B32" s="109">
        <f>_xlfn.COMPOUNDVALUE(334)</f>
        <v>3710</v>
      </c>
      <c r="C32" s="110">
        <v>16471810</v>
      </c>
      <c r="D32" s="109">
        <f>_xlfn.COMPOUNDVALUE(335)</f>
        <v>1783</v>
      </c>
      <c r="E32" s="110">
        <v>691569</v>
      </c>
      <c r="F32" s="109">
        <f>_xlfn.COMPOUNDVALUE(336)</f>
        <v>5493</v>
      </c>
      <c r="G32" s="110">
        <v>17163378</v>
      </c>
      <c r="H32" s="109">
        <f>_xlfn.COMPOUNDVALUE(337)</f>
        <v>256</v>
      </c>
      <c r="I32" s="111">
        <v>2467605</v>
      </c>
      <c r="J32" s="109">
        <v>252</v>
      </c>
      <c r="K32" s="111">
        <v>25461</v>
      </c>
      <c r="L32" s="109">
        <v>5779</v>
      </c>
      <c r="M32" s="111">
        <v>14721234</v>
      </c>
      <c r="N32" s="112" t="s">
        <v>85</v>
      </c>
    </row>
    <row r="33" spans="1:14" ht="15.75" customHeight="1">
      <c r="A33" s="108" t="s">
        <v>86</v>
      </c>
      <c r="B33" s="109">
        <f>_xlfn.COMPOUNDVALUE(338)</f>
        <v>599</v>
      </c>
      <c r="C33" s="110">
        <v>1572627</v>
      </c>
      <c r="D33" s="109">
        <f>_xlfn.COMPOUNDVALUE(339)</f>
        <v>307</v>
      </c>
      <c r="E33" s="110">
        <v>107343</v>
      </c>
      <c r="F33" s="109">
        <f>_xlfn.COMPOUNDVALUE(340)</f>
        <v>906</v>
      </c>
      <c r="G33" s="110">
        <v>1679970</v>
      </c>
      <c r="H33" s="109">
        <f>_xlfn.COMPOUNDVALUE(341)</f>
        <v>43</v>
      </c>
      <c r="I33" s="111">
        <v>34040</v>
      </c>
      <c r="J33" s="109">
        <v>30</v>
      </c>
      <c r="K33" s="111">
        <v>-2836</v>
      </c>
      <c r="L33" s="109">
        <v>959</v>
      </c>
      <c r="M33" s="111">
        <v>1643094</v>
      </c>
      <c r="N33" s="112" t="s">
        <v>86</v>
      </c>
    </row>
    <row r="34" spans="1:14" ht="15.75" customHeight="1">
      <c r="A34" s="108" t="s">
        <v>87</v>
      </c>
      <c r="B34" s="109">
        <f>_xlfn.COMPOUNDVALUE(342)</f>
        <v>704</v>
      </c>
      <c r="C34" s="110">
        <v>2425574</v>
      </c>
      <c r="D34" s="109">
        <f>_xlfn.COMPOUNDVALUE(343)</f>
        <v>418</v>
      </c>
      <c r="E34" s="110">
        <v>146993</v>
      </c>
      <c r="F34" s="109">
        <f>_xlfn.COMPOUNDVALUE(344)</f>
        <v>1122</v>
      </c>
      <c r="G34" s="110">
        <v>2572567</v>
      </c>
      <c r="H34" s="109">
        <f>_xlfn.COMPOUNDVALUE(345)</f>
        <v>25</v>
      </c>
      <c r="I34" s="111">
        <v>68294</v>
      </c>
      <c r="J34" s="109">
        <v>67</v>
      </c>
      <c r="K34" s="111">
        <v>5573</v>
      </c>
      <c r="L34" s="109">
        <v>1156</v>
      </c>
      <c r="M34" s="111">
        <v>2509846</v>
      </c>
      <c r="N34" s="112" t="s">
        <v>87</v>
      </c>
    </row>
    <row r="35" spans="1:14" ht="15.75" customHeight="1">
      <c r="A35" s="108" t="s">
        <v>88</v>
      </c>
      <c r="B35" s="109">
        <f>_xlfn.COMPOUNDVALUE(346)</f>
        <v>675</v>
      </c>
      <c r="C35" s="110">
        <v>1699785</v>
      </c>
      <c r="D35" s="109">
        <f>_xlfn.COMPOUNDVALUE(347)</f>
        <v>338</v>
      </c>
      <c r="E35" s="110">
        <v>114620</v>
      </c>
      <c r="F35" s="109">
        <f>_xlfn.COMPOUNDVALUE(348)</f>
        <v>1013</v>
      </c>
      <c r="G35" s="110">
        <v>1814404</v>
      </c>
      <c r="H35" s="109">
        <f>_xlfn.COMPOUNDVALUE(349)</f>
        <v>30</v>
      </c>
      <c r="I35" s="111">
        <v>25396</v>
      </c>
      <c r="J35" s="109">
        <v>67</v>
      </c>
      <c r="K35" s="111">
        <v>3456</v>
      </c>
      <c r="L35" s="109">
        <v>1055</v>
      </c>
      <c r="M35" s="111">
        <v>1792464</v>
      </c>
      <c r="N35" s="112" t="s">
        <v>88</v>
      </c>
    </row>
    <row r="36" spans="1:14" ht="15.75" customHeight="1">
      <c r="A36" s="113" t="s">
        <v>144</v>
      </c>
      <c r="B36" s="114">
        <v>19456</v>
      </c>
      <c r="C36" s="115">
        <v>86363485</v>
      </c>
      <c r="D36" s="114">
        <v>9681</v>
      </c>
      <c r="E36" s="115">
        <v>3519891</v>
      </c>
      <c r="F36" s="114">
        <v>29137</v>
      </c>
      <c r="G36" s="115">
        <v>89883376</v>
      </c>
      <c r="H36" s="114">
        <v>1104</v>
      </c>
      <c r="I36" s="116">
        <v>8417566</v>
      </c>
      <c r="J36" s="114">
        <v>1703</v>
      </c>
      <c r="K36" s="116">
        <v>205622</v>
      </c>
      <c r="L36" s="114">
        <v>30444</v>
      </c>
      <c r="M36" s="116">
        <v>81671431</v>
      </c>
      <c r="N36" s="117" t="s">
        <v>90</v>
      </c>
    </row>
    <row r="37" spans="1:14" ht="15.75" customHeight="1">
      <c r="A37" s="118"/>
      <c r="B37" s="119"/>
      <c r="C37" s="120"/>
      <c r="D37" s="119"/>
      <c r="E37" s="120"/>
      <c r="F37" s="121"/>
      <c r="G37" s="120"/>
      <c r="H37" s="121"/>
      <c r="I37" s="120"/>
      <c r="J37" s="121"/>
      <c r="K37" s="120"/>
      <c r="L37" s="121"/>
      <c r="M37" s="120"/>
      <c r="N37" s="122"/>
    </row>
    <row r="38" spans="1:14" ht="15.75" customHeight="1">
      <c r="A38" s="102" t="s">
        <v>91</v>
      </c>
      <c r="B38" s="103">
        <f>_xlfn.COMPOUNDVALUE(350)</f>
        <v>6148</v>
      </c>
      <c r="C38" s="104">
        <v>22387983</v>
      </c>
      <c r="D38" s="103">
        <f>_xlfn.COMPOUNDVALUE(351)</f>
        <v>3334</v>
      </c>
      <c r="E38" s="104">
        <v>1192808</v>
      </c>
      <c r="F38" s="103">
        <f>_xlfn.COMPOUNDVALUE(352)</f>
        <v>9482</v>
      </c>
      <c r="G38" s="104">
        <v>23580791</v>
      </c>
      <c r="H38" s="103">
        <f>_xlfn.COMPOUNDVALUE(353)</f>
        <v>397</v>
      </c>
      <c r="I38" s="105">
        <v>1475386</v>
      </c>
      <c r="J38" s="103">
        <v>419</v>
      </c>
      <c r="K38" s="105">
        <v>20928</v>
      </c>
      <c r="L38" s="103">
        <v>9928</v>
      </c>
      <c r="M38" s="105">
        <v>22126333</v>
      </c>
      <c r="N38" s="123" t="s">
        <v>91</v>
      </c>
    </row>
    <row r="39" spans="1:14" ht="15.75" customHeight="1">
      <c r="A39" s="102" t="s">
        <v>92</v>
      </c>
      <c r="B39" s="103">
        <f>_xlfn.COMPOUNDVALUE(354)</f>
        <v>3136</v>
      </c>
      <c r="C39" s="104">
        <v>12175891</v>
      </c>
      <c r="D39" s="103">
        <f>_xlfn.COMPOUNDVALUE(355)</f>
        <v>1402</v>
      </c>
      <c r="E39" s="104">
        <v>515522</v>
      </c>
      <c r="F39" s="103">
        <f>_xlfn.COMPOUNDVALUE(356)</f>
        <v>4538</v>
      </c>
      <c r="G39" s="104">
        <v>12691413</v>
      </c>
      <c r="H39" s="103">
        <f>_xlfn.COMPOUNDVALUE(357)</f>
        <v>148</v>
      </c>
      <c r="I39" s="105">
        <v>297744</v>
      </c>
      <c r="J39" s="103">
        <v>327</v>
      </c>
      <c r="K39" s="105">
        <v>62837</v>
      </c>
      <c r="L39" s="103">
        <v>4716</v>
      </c>
      <c r="M39" s="105">
        <v>12456506</v>
      </c>
      <c r="N39" s="106" t="s">
        <v>92</v>
      </c>
    </row>
    <row r="40" spans="1:14" ht="15.75" customHeight="1">
      <c r="A40" s="102" t="s">
        <v>93</v>
      </c>
      <c r="B40" s="103">
        <f>_xlfn.COMPOUNDVALUE(358)</f>
        <v>6931</v>
      </c>
      <c r="C40" s="104">
        <v>20632953</v>
      </c>
      <c r="D40" s="103">
        <f>_xlfn.COMPOUNDVALUE(359)</f>
        <v>3768</v>
      </c>
      <c r="E40" s="104">
        <v>1360769</v>
      </c>
      <c r="F40" s="103">
        <f>_xlfn.COMPOUNDVALUE(360)</f>
        <v>10699</v>
      </c>
      <c r="G40" s="104">
        <v>21993723</v>
      </c>
      <c r="H40" s="103">
        <f>_xlfn.COMPOUNDVALUE(361)</f>
        <v>387</v>
      </c>
      <c r="I40" s="105">
        <v>723254</v>
      </c>
      <c r="J40" s="103">
        <v>666</v>
      </c>
      <c r="K40" s="105">
        <v>96071</v>
      </c>
      <c r="L40" s="103">
        <v>11236</v>
      </c>
      <c r="M40" s="105">
        <v>21366539</v>
      </c>
      <c r="N40" s="106" t="s">
        <v>93</v>
      </c>
    </row>
    <row r="41" spans="1:14" ht="15.75" customHeight="1">
      <c r="A41" s="102" t="s">
        <v>94</v>
      </c>
      <c r="B41" s="103">
        <f>_xlfn.COMPOUNDVALUE(362)</f>
        <v>3550</v>
      </c>
      <c r="C41" s="104">
        <v>12712972</v>
      </c>
      <c r="D41" s="103">
        <f>_xlfn.COMPOUNDVALUE(363)</f>
        <v>2077</v>
      </c>
      <c r="E41" s="104">
        <v>804103</v>
      </c>
      <c r="F41" s="103">
        <f>_xlfn.COMPOUNDVALUE(364)</f>
        <v>5627</v>
      </c>
      <c r="G41" s="104">
        <v>13517075</v>
      </c>
      <c r="H41" s="103">
        <f>_xlfn.COMPOUNDVALUE(365)</f>
        <v>255</v>
      </c>
      <c r="I41" s="105">
        <v>446721</v>
      </c>
      <c r="J41" s="103">
        <v>364</v>
      </c>
      <c r="K41" s="105">
        <v>49923</v>
      </c>
      <c r="L41" s="103">
        <v>5926</v>
      </c>
      <c r="M41" s="105">
        <v>13120277</v>
      </c>
      <c r="N41" s="106" t="s">
        <v>94</v>
      </c>
    </row>
    <row r="42" spans="1:14" ht="15.75" customHeight="1">
      <c r="A42" s="102" t="s">
        <v>95</v>
      </c>
      <c r="B42" s="103">
        <f>_xlfn.COMPOUNDVALUE(366)</f>
        <v>4868</v>
      </c>
      <c r="C42" s="104">
        <v>28703666</v>
      </c>
      <c r="D42" s="103">
        <f>_xlfn.COMPOUNDVALUE(367)</f>
        <v>2555</v>
      </c>
      <c r="E42" s="104">
        <v>975310</v>
      </c>
      <c r="F42" s="103">
        <f>_xlfn.COMPOUNDVALUE(368)</f>
        <v>7423</v>
      </c>
      <c r="G42" s="104">
        <v>29678975</v>
      </c>
      <c r="H42" s="103">
        <f>_xlfn.COMPOUNDVALUE(369)</f>
        <v>355</v>
      </c>
      <c r="I42" s="105">
        <v>1218689</v>
      </c>
      <c r="J42" s="103">
        <v>475</v>
      </c>
      <c r="K42" s="105">
        <v>83147</v>
      </c>
      <c r="L42" s="103">
        <v>7857</v>
      </c>
      <c r="M42" s="105">
        <v>28543433</v>
      </c>
      <c r="N42" s="106" t="s">
        <v>95</v>
      </c>
    </row>
    <row r="43" spans="1:14" ht="15.75" customHeight="1">
      <c r="A43" s="102" t="s">
        <v>96</v>
      </c>
      <c r="B43" s="103">
        <f>_xlfn.COMPOUNDVALUE(370)</f>
        <v>4374</v>
      </c>
      <c r="C43" s="104">
        <v>28449340</v>
      </c>
      <c r="D43" s="103">
        <f>_xlfn.COMPOUNDVALUE(371)</f>
        <v>2070</v>
      </c>
      <c r="E43" s="104">
        <v>775228</v>
      </c>
      <c r="F43" s="103">
        <f>_xlfn.COMPOUNDVALUE(372)</f>
        <v>6444</v>
      </c>
      <c r="G43" s="104">
        <v>29224568</v>
      </c>
      <c r="H43" s="103">
        <f>_xlfn.COMPOUNDVALUE(373)</f>
        <v>324</v>
      </c>
      <c r="I43" s="105">
        <v>1238053</v>
      </c>
      <c r="J43" s="103">
        <v>358</v>
      </c>
      <c r="K43" s="105">
        <v>24980</v>
      </c>
      <c r="L43" s="103">
        <v>6817</v>
      </c>
      <c r="M43" s="105">
        <v>28011496</v>
      </c>
      <c r="N43" s="106" t="s">
        <v>96</v>
      </c>
    </row>
    <row r="44" spans="1:14" ht="15.75" customHeight="1">
      <c r="A44" s="102" t="s">
        <v>97</v>
      </c>
      <c r="B44" s="103">
        <f>_xlfn.COMPOUNDVALUE(374)</f>
        <v>1976</v>
      </c>
      <c r="C44" s="104">
        <v>7084633</v>
      </c>
      <c r="D44" s="103">
        <f>_xlfn.COMPOUNDVALUE(375)</f>
        <v>885</v>
      </c>
      <c r="E44" s="104">
        <v>326533</v>
      </c>
      <c r="F44" s="103">
        <f>_xlfn.COMPOUNDVALUE(376)</f>
        <v>2861</v>
      </c>
      <c r="G44" s="104">
        <v>7411166</v>
      </c>
      <c r="H44" s="103">
        <f>_xlfn.COMPOUNDVALUE(377)</f>
        <v>155</v>
      </c>
      <c r="I44" s="105">
        <v>683532</v>
      </c>
      <c r="J44" s="103">
        <v>106</v>
      </c>
      <c r="K44" s="105">
        <v>10050</v>
      </c>
      <c r="L44" s="103">
        <v>3027</v>
      </c>
      <c r="M44" s="105">
        <v>6737684</v>
      </c>
      <c r="N44" s="106" t="s">
        <v>97</v>
      </c>
    </row>
    <row r="45" spans="1:14" ht="15.75" customHeight="1">
      <c r="A45" s="102" t="s">
        <v>98</v>
      </c>
      <c r="B45" s="103">
        <f>_xlfn.COMPOUNDVALUE(378)</f>
        <v>966</v>
      </c>
      <c r="C45" s="104">
        <v>3423136</v>
      </c>
      <c r="D45" s="103">
        <f>_xlfn.COMPOUNDVALUE(379)</f>
        <v>517</v>
      </c>
      <c r="E45" s="104">
        <v>180385</v>
      </c>
      <c r="F45" s="103">
        <f>_xlfn.COMPOUNDVALUE(380)</f>
        <v>1483</v>
      </c>
      <c r="G45" s="104">
        <v>3603521</v>
      </c>
      <c r="H45" s="103">
        <f>_xlfn.COMPOUNDVALUE(381)</f>
        <v>34</v>
      </c>
      <c r="I45" s="105">
        <v>40658</v>
      </c>
      <c r="J45" s="103">
        <v>56</v>
      </c>
      <c r="K45" s="105">
        <v>3413</v>
      </c>
      <c r="L45" s="103">
        <v>1521</v>
      </c>
      <c r="M45" s="105">
        <v>3566275</v>
      </c>
      <c r="N45" s="106" t="s">
        <v>98</v>
      </c>
    </row>
    <row r="46" spans="1:14" ht="15.75" customHeight="1">
      <c r="A46" s="108" t="s">
        <v>99</v>
      </c>
      <c r="B46" s="109">
        <f>_xlfn.COMPOUNDVALUE(382)</f>
        <v>4983</v>
      </c>
      <c r="C46" s="110">
        <v>16171467</v>
      </c>
      <c r="D46" s="109">
        <f>_xlfn.COMPOUNDVALUE(383)</f>
        <v>2796</v>
      </c>
      <c r="E46" s="110">
        <v>989057</v>
      </c>
      <c r="F46" s="109">
        <f>_xlfn.COMPOUNDVALUE(384)</f>
        <v>7779</v>
      </c>
      <c r="G46" s="110">
        <v>17160524</v>
      </c>
      <c r="H46" s="109">
        <f>_xlfn.COMPOUNDVALUE(385)</f>
        <v>328</v>
      </c>
      <c r="I46" s="111">
        <v>1272357</v>
      </c>
      <c r="J46" s="109">
        <v>467</v>
      </c>
      <c r="K46" s="111">
        <v>45611</v>
      </c>
      <c r="L46" s="109">
        <v>8165</v>
      </c>
      <c r="M46" s="111">
        <v>15933778</v>
      </c>
      <c r="N46" s="112" t="s">
        <v>99</v>
      </c>
    </row>
    <row r="47" spans="1:14" ht="15.75" customHeight="1">
      <c r="A47" s="108" t="s">
        <v>100</v>
      </c>
      <c r="B47" s="109">
        <f>_xlfn.COMPOUNDVALUE(354)</f>
        <v>1059</v>
      </c>
      <c r="C47" s="110">
        <v>5715204</v>
      </c>
      <c r="D47" s="109">
        <f>_xlfn.COMPOUNDVALUE(386)</f>
        <v>489</v>
      </c>
      <c r="E47" s="110">
        <v>170426</v>
      </c>
      <c r="F47" s="109">
        <f>_xlfn.COMPOUNDVALUE(387)</f>
        <v>1548</v>
      </c>
      <c r="G47" s="110">
        <v>5885630</v>
      </c>
      <c r="H47" s="109">
        <f>_xlfn.COMPOUNDVALUE(388)</f>
        <v>59</v>
      </c>
      <c r="I47" s="111">
        <v>143337</v>
      </c>
      <c r="J47" s="109">
        <v>96</v>
      </c>
      <c r="K47" s="111">
        <v>17365</v>
      </c>
      <c r="L47" s="109">
        <v>1623</v>
      </c>
      <c r="M47" s="111">
        <v>5759658</v>
      </c>
      <c r="N47" s="112" t="s">
        <v>100</v>
      </c>
    </row>
    <row r="48" spans="1:14" ht="15.75" customHeight="1">
      <c r="A48" s="108" t="s">
        <v>101</v>
      </c>
      <c r="B48" s="109">
        <f>_xlfn.COMPOUNDVALUE(389)</f>
        <v>1702</v>
      </c>
      <c r="C48" s="110">
        <v>6416973</v>
      </c>
      <c r="D48" s="109">
        <f>_xlfn.COMPOUNDVALUE(390)</f>
        <v>928</v>
      </c>
      <c r="E48" s="110">
        <v>334687</v>
      </c>
      <c r="F48" s="109">
        <f>_xlfn.COMPOUNDVALUE(391)</f>
        <v>2630</v>
      </c>
      <c r="G48" s="110">
        <v>6751660</v>
      </c>
      <c r="H48" s="109">
        <f>_xlfn.COMPOUNDVALUE(392)</f>
        <v>112</v>
      </c>
      <c r="I48" s="111">
        <v>443350</v>
      </c>
      <c r="J48" s="109">
        <v>118</v>
      </c>
      <c r="K48" s="111">
        <v>-17906</v>
      </c>
      <c r="L48" s="109">
        <v>2764</v>
      </c>
      <c r="M48" s="111">
        <v>6290404</v>
      </c>
      <c r="N48" s="112" t="s">
        <v>101</v>
      </c>
    </row>
    <row r="49" spans="1:14" ht="15.75" customHeight="1">
      <c r="A49" s="108" t="s">
        <v>102</v>
      </c>
      <c r="B49" s="109">
        <f>_xlfn.COMPOUNDVALUE(393)</f>
        <v>5104</v>
      </c>
      <c r="C49" s="110">
        <v>14698377</v>
      </c>
      <c r="D49" s="109">
        <f>_xlfn.COMPOUNDVALUE(394)</f>
        <v>2631</v>
      </c>
      <c r="E49" s="110">
        <v>926016</v>
      </c>
      <c r="F49" s="109">
        <f>_xlfn.COMPOUNDVALUE(395)</f>
        <v>7735</v>
      </c>
      <c r="G49" s="110">
        <v>15624393</v>
      </c>
      <c r="H49" s="109">
        <f>_xlfn.COMPOUNDVALUE(396)</f>
        <v>480</v>
      </c>
      <c r="I49" s="111">
        <v>1920496</v>
      </c>
      <c r="J49" s="109">
        <v>573</v>
      </c>
      <c r="K49" s="111">
        <v>47847</v>
      </c>
      <c r="L49" s="109">
        <v>8302</v>
      </c>
      <c r="M49" s="111">
        <v>13751744</v>
      </c>
      <c r="N49" s="112" t="s">
        <v>102</v>
      </c>
    </row>
    <row r="50" spans="1:14" ht="15.75" customHeight="1">
      <c r="A50" s="108" t="s">
        <v>103</v>
      </c>
      <c r="B50" s="109">
        <f>_xlfn.COMPOUNDVALUE(397)</f>
        <v>3381</v>
      </c>
      <c r="C50" s="110">
        <v>16088932</v>
      </c>
      <c r="D50" s="109">
        <f>_xlfn.COMPOUNDVALUE(398)</f>
        <v>1958</v>
      </c>
      <c r="E50" s="110">
        <v>770904</v>
      </c>
      <c r="F50" s="109">
        <f>_xlfn.COMPOUNDVALUE(399)</f>
        <v>5339</v>
      </c>
      <c r="G50" s="110">
        <v>16859836</v>
      </c>
      <c r="H50" s="109">
        <f>_xlfn.COMPOUNDVALUE(400)</f>
        <v>178</v>
      </c>
      <c r="I50" s="111">
        <v>1020450</v>
      </c>
      <c r="J50" s="109">
        <v>331</v>
      </c>
      <c r="K50" s="111">
        <v>46023</v>
      </c>
      <c r="L50" s="109">
        <v>5583</v>
      </c>
      <c r="M50" s="111">
        <v>15885408</v>
      </c>
      <c r="N50" s="112" t="s">
        <v>103</v>
      </c>
    </row>
    <row r="51" spans="1:14" ht="15.75" customHeight="1">
      <c r="A51" s="108" t="s">
        <v>104</v>
      </c>
      <c r="B51" s="109">
        <f>_xlfn.COMPOUNDVALUE(401)</f>
        <v>6070</v>
      </c>
      <c r="C51" s="110">
        <v>18932700</v>
      </c>
      <c r="D51" s="109">
        <f>_xlfn.COMPOUNDVALUE(402)</f>
        <v>3028</v>
      </c>
      <c r="E51" s="110">
        <v>1131679</v>
      </c>
      <c r="F51" s="109">
        <f>_xlfn.COMPOUNDVALUE(403)</f>
        <v>9098</v>
      </c>
      <c r="G51" s="110">
        <v>20064380</v>
      </c>
      <c r="H51" s="109">
        <f>_xlfn.COMPOUNDVALUE(404)</f>
        <v>338</v>
      </c>
      <c r="I51" s="111">
        <v>1078159</v>
      </c>
      <c r="J51" s="109">
        <v>522</v>
      </c>
      <c r="K51" s="111">
        <v>69505</v>
      </c>
      <c r="L51" s="109">
        <v>9495</v>
      </c>
      <c r="M51" s="111">
        <v>19055725</v>
      </c>
      <c r="N51" s="112" t="s">
        <v>104</v>
      </c>
    </row>
    <row r="52" spans="1:14" ht="15.75" customHeight="1">
      <c r="A52" s="108" t="s">
        <v>105</v>
      </c>
      <c r="B52" s="109">
        <f>_xlfn.COMPOUNDVALUE(405)</f>
        <v>3443</v>
      </c>
      <c r="C52" s="110">
        <v>20829810</v>
      </c>
      <c r="D52" s="109">
        <f>_xlfn.COMPOUNDVALUE(406)</f>
        <v>1967</v>
      </c>
      <c r="E52" s="110">
        <v>710707</v>
      </c>
      <c r="F52" s="109">
        <f>_xlfn.COMPOUNDVALUE(407)</f>
        <v>5410</v>
      </c>
      <c r="G52" s="110">
        <v>21540516</v>
      </c>
      <c r="H52" s="109">
        <f>_xlfn.COMPOUNDVALUE(408)</f>
        <v>252</v>
      </c>
      <c r="I52" s="111">
        <v>1621680</v>
      </c>
      <c r="J52" s="109">
        <v>351</v>
      </c>
      <c r="K52" s="111">
        <v>37887</v>
      </c>
      <c r="L52" s="109">
        <v>5718</v>
      </c>
      <c r="M52" s="111">
        <v>19956723</v>
      </c>
      <c r="N52" s="112" t="s">
        <v>105</v>
      </c>
    </row>
    <row r="53" spans="1:14" ht="15.75" customHeight="1">
      <c r="A53" s="113" t="s">
        <v>145</v>
      </c>
      <c r="B53" s="114">
        <v>57691</v>
      </c>
      <c r="C53" s="115">
        <v>234424037</v>
      </c>
      <c r="D53" s="114">
        <v>30405</v>
      </c>
      <c r="E53" s="115">
        <v>11164133</v>
      </c>
      <c r="F53" s="114">
        <v>88096</v>
      </c>
      <c r="G53" s="115">
        <v>245588170</v>
      </c>
      <c r="H53" s="114">
        <v>3802</v>
      </c>
      <c r="I53" s="116">
        <v>13623867</v>
      </c>
      <c r="J53" s="114">
        <v>5229</v>
      </c>
      <c r="K53" s="116">
        <v>597681</v>
      </c>
      <c r="L53" s="114">
        <v>92678</v>
      </c>
      <c r="M53" s="116">
        <v>232561984</v>
      </c>
      <c r="N53" s="117" t="s">
        <v>107</v>
      </c>
    </row>
    <row r="54" spans="1:14" ht="15.75" customHeight="1">
      <c r="A54" s="118"/>
      <c r="B54" s="119"/>
      <c r="C54" s="120"/>
      <c r="D54" s="119"/>
      <c r="E54" s="120"/>
      <c r="F54" s="121"/>
      <c r="G54" s="120"/>
      <c r="H54" s="121"/>
      <c r="I54" s="120"/>
      <c r="J54" s="121"/>
      <c r="K54" s="120"/>
      <c r="L54" s="121"/>
      <c r="M54" s="120"/>
      <c r="N54" s="122"/>
    </row>
    <row r="55" spans="1:14" ht="15.75" customHeight="1">
      <c r="A55" s="102" t="s">
        <v>108</v>
      </c>
      <c r="B55" s="103">
        <f>_xlfn.COMPOUNDVALUE(409)</f>
        <v>6385</v>
      </c>
      <c r="C55" s="104">
        <v>40568076</v>
      </c>
      <c r="D55" s="103">
        <f>_xlfn.COMPOUNDVALUE(410)</f>
        <v>2590</v>
      </c>
      <c r="E55" s="104">
        <v>965465</v>
      </c>
      <c r="F55" s="103">
        <f>_xlfn.COMPOUNDVALUE(411)</f>
        <v>8975</v>
      </c>
      <c r="G55" s="104">
        <v>41533541</v>
      </c>
      <c r="H55" s="103">
        <f>_xlfn.COMPOUNDVALUE(412)</f>
        <v>387</v>
      </c>
      <c r="I55" s="105">
        <v>1319715</v>
      </c>
      <c r="J55" s="103">
        <v>561</v>
      </c>
      <c r="K55" s="105">
        <v>57374</v>
      </c>
      <c r="L55" s="103">
        <v>9414</v>
      </c>
      <c r="M55" s="105">
        <v>40271201</v>
      </c>
      <c r="N55" s="123" t="s">
        <v>108</v>
      </c>
    </row>
    <row r="56" spans="1:14" ht="15.75" customHeight="1">
      <c r="A56" s="102" t="s">
        <v>109</v>
      </c>
      <c r="B56" s="103">
        <f>_xlfn.COMPOUNDVALUE(413)</f>
        <v>992</v>
      </c>
      <c r="C56" s="104">
        <v>2945476</v>
      </c>
      <c r="D56" s="103">
        <f>_xlfn.COMPOUNDVALUE(414)</f>
        <v>440</v>
      </c>
      <c r="E56" s="104">
        <v>160160</v>
      </c>
      <c r="F56" s="103">
        <f>_xlfn.COMPOUNDVALUE(415)</f>
        <v>1432</v>
      </c>
      <c r="G56" s="104">
        <v>3105635</v>
      </c>
      <c r="H56" s="103">
        <f>_xlfn.COMPOUNDVALUE(416)</f>
        <v>33</v>
      </c>
      <c r="I56" s="105">
        <v>43187</v>
      </c>
      <c r="J56" s="103">
        <v>71</v>
      </c>
      <c r="K56" s="105">
        <v>3913</v>
      </c>
      <c r="L56" s="103">
        <v>1472</v>
      </c>
      <c r="M56" s="105">
        <v>3066362</v>
      </c>
      <c r="N56" s="106" t="s">
        <v>109</v>
      </c>
    </row>
    <row r="57" spans="1:14" ht="15.75" customHeight="1">
      <c r="A57" s="102" t="s">
        <v>110</v>
      </c>
      <c r="B57" s="103">
        <f>_xlfn.COMPOUNDVALUE(417)</f>
        <v>1761</v>
      </c>
      <c r="C57" s="104">
        <v>6417320</v>
      </c>
      <c r="D57" s="103">
        <f>_xlfn.COMPOUNDVALUE(418)</f>
        <v>691</v>
      </c>
      <c r="E57" s="104">
        <v>254646</v>
      </c>
      <c r="F57" s="103">
        <f>_xlfn.COMPOUNDVALUE(419)</f>
        <v>2452</v>
      </c>
      <c r="G57" s="104">
        <v>6671966</v>
      </c>
      <c r="H57" s="103">
        <f>_xlfn.COMPOUNDVALUE(420)</f>
        <v>78</v>
      </c>
      <c r="I57" s="105">
        <v>307278</v>
      </c>
      <c r="J57" s="103">
        <v>89</v>
      </c>
      <c r="K57" s="105">
        <v>-14313</v>
      </c>
      <c r="L57" s="103">
        <v>2542</v>
      </c>
      <c r="M57" s="105">
        <v>6350375</v>
      </c>
      <c r="N57" s="106" t="s">
        <v>110</v>
      </c>
    </row>
    <row r="58" spans="1:14" ht="15.75" customHeight="1">
      <c r="A58" s="102" t="s">
        <v>111</v>
      </c>
      <c r="B58" s="103">
        <f>_xlfn.COMPOUNDVALUE(421)</f>
        <v>2980</v>
      </c>
      <c r="C58" s="104">
        <v>13273927</v>
      </c>
      <c r="D58" s="103">
        <f>_xlfn.COMPOUNDVALUE(422)</f>
        <v>1495</v>
      </c>
      <c r="E58" s="104">
        <v>527845</v>
      </c>
      <c r="F58" s="103">
        <f>_xlfn.COMPOUNDVALUE(423)</f>
        <v>4475</v>
      </c>
      <c r="G58" s="104">
        <v>13801771</v>
      </c>
      <c r="H58" s="103">
        <f>_xlfn.COMPOUNDVALUE(424)</f>
        <v>122</v>
      </c>
      <c r="I58" s="105">
        <v>1168998</v>
      </c>
      <c r="J58" s="103">
        <v>258</v>
      </c>
      <c r="K58" s="105">
        <v>6652</v>
      </c>
      <c r="L58" s="103">
        <v>4609</v>
      </c>
      <c r="M58" s="105">
        <v>12639425</v>
      </c>
      <c r="N58" s="106" t="s">
        <v>111</v>
      </c>
    </row>
    <row r="59" spans="1:14" ht="15.75" customHeight="1">
      <c r="A59" s="102" t="s">
        <v>112</v>
      </c>
      <c r="B59" s="103">
        <f>_xlfn.COMPOUNDVALUE(425)</f>
        <v>2118</v>
      </c>
      <c r="C59" s="104">
        <v>10229862</v>
      </c>
      <c r="D59" s="103">
        <f>_xlfn.COMPOUNDVALUE(426)</f>
        <v>826</v>
      </c>
      <c r="E59" s="104">
        <v>288265</v>
      </c>
      <c r="F59" s="103">
        <f>_xlfn.COMPOUNDVALUE(427)</f>
        <v>2944</v>
      </c>
      <c r="G59" s="104">
        <v>10518127</v>
      </c>
      <c r="H59" s="103">
        <f>_xlfn.COMPOUNDVALUE(428)</f>
        <v>80</v>
      </c>
      <c r="I59" s="105">
        <v>483912</v>
      </c>
      <c r="J59" s="103">
        <v>136</v>
      </c>
      <c r="K59" s="105">
        <v>-13607</v>
      </c>
      <c r="L59" s="103">
        <v>3037</v>
      </c>
      <c r="M59" s="105">
        <v>10020608</v>
      </c>
      <c r="N59" s="106" t="s">
        <v>112</v>
      </c>
    </row>
    <row r="60" spans="1:14" ht="15.75" customHeight="1">
      <c r="A60" s="102" t="s">
        <v>113</v>
      </c>
      <c r="B60" s="103">
        <f>_xlfn.COMPOUNDVALUE(429)</f>
        <v>850</v>
      </c>
      <c r="C60" s="104">
        <v>4132585</v>
      </c>
      <c r="D60" s="103">
        <f>_xlfn.COMPOUNDVALUE(430)</f>
        <v>384</v>
      </c>
      <c r="E60" s="104">
        <v>140410</v>
      </c>
      <c r="F60" s="103">
        <f>_xlfn.COMPOUNDVALUE(431)</f>
        <v>1234</v>
      </c>
      <c r="G60" s="104">
        <v>4272995</v>
      </c>
      <c r="H60" s="103">
        <f>_xlfn.COMPOUNDVALUE(432)</f>
        <v>30</v>
      </c>
      <c r="I60" s="105">
        <v>45583</v>
      </c>
      <c r="J60" s="103">
        <v>83</v>
      </c>
      <c r="K60" s="105">
        <v>-7878</v>
      </c>
      <c r="L60" s="103">
        <v>1281</v>
      </c>
      <c r="M60" s="105">
        <v>4219534</v>
      </c>
      <c r="N60" s="106" t="s">
        <v>113</v>
      </c>
    </row>
    <row r="61" spans="1:14" ht="15.75" customHeight="1">
      <c r="A61" s="108" t="s">
        <v>114</v>
      </c>
      <c r="B61" s="109">
        <f>_xlfn.COMPOUNDVALUE(433)</f>
        <v>1406</v>
      </c>
      <c r="C61" s="110">
        <v>5624141</v>
      </c>
      <c r="D61" s="109">
        <f>_xlfn.COMPOUNDVALUE(434)</f>
        <v>597</v>
      </c>
      <c r="E61" s="110">
        <v>230874</v>
      </c>
      <c r="F61" s="109">
        <f>_xlfn.COMPOUNDVALUE(435)</f>
        <v>2003</v>
      </c>
      <c r="G61" s="110">
        <v>5855015</v>
      </c>
      <c r="H61" s="109">
        <f>_xlfn.COMPOUNDVALUE(436)</f>
        <v>123</v>
      </c>
      <c r="I61" s="111">
        <v>375717</v>
      </c>
      <c r="J61" s="109">
        <v>183</v>
      </c>
      <c r="K61" s="111">
        <v>14781</v>
      </c>
      <c r="L61" s="109">
        <v>2159</v>
      </c>
      <c r="M61" s="111">
        <v>5494079</v>
      </c>
      <c r="N61" s="112" t="s">
        <v>114</v>
      </c>
    </row>
    <row r="62" spans="1:14" ht="15.75" customHeight="1">
      <c r="A62" s="108" t="s">
        <v>115</v>
      </c>
      <c r="B62" s="109">
        <f>_xlfn.COMPOUNDVALUE(437)</f>
        <v>1634</v>
      </c>
      <c r="C62" s="110">
        <v>5368782</v>
      </c>
      <c r="D62" s="109">
        <f>_xlfn.COMPOUNDVALUE(438)</f>
        <v>717</v>
      </c>
      <c r="E62" s="110">
        <v>265325</v>
      </c>
      <c r="F62" s="109">
        <f>_xlfn.COMPOUNDVALUE(439)</f>
        <v>2351</v>
      </c>
      <c r="G62" s="110">
        <v>5634107</v>
      </c>
      <c r="H62" s="109">
        <f>_xlfn.COMPOUNDVALUE(440)</f>
        <v>68</v>
      </c>
      <c r="I62" s="111">
        <v>213151</v>
      </c>
      <c r="J62" s="109">
        <v>99</v>
      </c>
      <c r="K62" s="111">
        <v>8995</v>
      </c>
      <c r="L62" s="109">
        <v>2435</v>
      </c>
      <c r="M62" s="111">
        <v>5429952</v>
      </c>
      <c r="N62" s="112" t="s">
        <v>115</v>
      </c>
    </row>
    <row r="63" spans="1:14" ht="15.75" customHeight="1">
      <c r="A63" s="108" t="s">
        <v>116</v>
      </c>
      <c r="B63" s="109">
        <f>_xlfn.COMPOUNDVALUE(441)</f>
        <v>712</v>
      </c>
      <c r="C63" s="110">
        <v>2236408</v>
      </c>
      <c r="D63" s="109">
        <f>_xlfn.COMPOUNDVALUE(442)</f>
        <v>307</v>
      </c>
      <c r="E63" s="110">
        <v>112219</v>
      </c>
      <c r="F63" s="109">
        <f>_xlfn.COMPOUNDVALUE(443)</f>
        <v>1019</v>
      </c>
      <c r="G63" s="110">
        <v>2348626</v>
      </c>
      <c r="H63" s="109">
        <f>_xlfn.COMPOUNDVALUE(444)</f>
        <v>16</v>
      </c>
      <c r="I63" s="111">
        <v>14894</v>
      </c>
      <c r="J63" s="109">
        <v>73</v>
      </c>
      <c r="K63" s="111">
        <v>3434</v>
      </c>
      <c r="L63" s="109">
        <v>1048</v>
      </c>
      <c r="M63" s="111">
        <v>2337166</v>
      </c>
      <c r="N63" s="112" t="s">
        <v>116</v>
      </c>
    </row>
    <row r="64" spans="1:14" ht="15.75" customHeight="1">
      <c r="A64" s="108" t="s">
        <v>117</v>
      </c>
      <c r="B64" s="109">
        <f>_xlfn.COMPOUNDVALUE(445)</f>
        <v>605</v>
      </c>
      <c r="C64" s="110">
        <v>1614662</v>
      </c>
      <c r="D64" s="109">
        <f>_xlfn.COMPOUNDVALUE(446)</f>
        <v>239</v>
      </c>
      <c r="E64" s="110">
        <v>93741</v>
      </c>
      <c r="F64" s="109">
        <f>_xlfn.COMPOUNDVALUE(447)</f>
        <v>844</v>
      </c>
      <c r="G64" s="110">
        <v>1708403</v>
      </c>
      <c r="H64" s="109">
        <f>_xlfn.COMPOUNDVALUE(448)</f>
        <v>20</v>
      </c>
      <c r="I64" s="111">
        <v>12886</v>
      </c>
      <c r="J64" s="109">
        <v>36</v>
      </c>
      <c r="K64" s="111">
        <v>2791</v>
      </c>
      <c r="L64" s="109">
        <v>869</v>
      </c>
      <c r="M64" s="111">
        <v>1698308</v>
      </c>
      <c r="N64" s="112" t="s">
        <v>117</v>
      </c>
    </row>
    <row r="65" spans="1:14" ht="15.75" customHeight="1">
      <c r="A65" s="108" t="s">
        <v>118</v>
      </c>
      <c r="B65" s="109">
        <f>_xlfn.COMPOUNDVALUE(449)</f>
        <v>415</v>
      </c>
      <c r="C65" s="110">
        <v>1502607</v>
      </c>
      <c r="D65" s="109">
        <f>_xlfn.COMPOUNDVALUE(450)</f>
        <v>167</v>
      </c>
      <c r="E65" s="110">
        <v>60968</v>
      </c>
      <c r="F65" s="109">
        <f>_xlfn.COMPOUNDVALUE(451)</f>
        <v>582</v>
      </c>
      <c r="G65" s="110">
        <v>1563574</v>
      </c>
      <c r="H65" s="109">
        <f>_xlfn.COMPOUNDVALUE(452)</f>
        <v>12</v>
      </c>
      <c r="I65" s="111">
        <v>9484</v>
      </c>
      <c r="J65" s="109">
        <v>30</v>
      </c>
      <c r="K65" s="111">
        <v>717</v>
      </c>
      <c r="L65" s="109">
        <v>595</v>
      </c>
      <c r="M65" s="111">
        <v>1554807</v>
      </c>
      <c r="N65" s="112" t="s">
        <v>118</v>
      </c>
    </row>
    <row r="66" spans="1:14" ht="15.75" customHeight="1">
      <c r="A66" s="108" t="s">
        <v>119</v>
      </c>
      <c r="B66" s="109">
        <f>_xlfn.COMPOUNDVALUE(453)</f>
        <v>2082</v>
      </c>
      <c r="C66" s="110">
        <v>8670848</v>
      </c>
      <c r="D66" s="109">
        <f>_xlfn.COMPOUNDVALUE(454)</f>
        <v>1029</v>
      </c>
      <c r="E66" s="110">
        <v>380419</v>
      </c>
      <c r="F66" s="109">
        <f>_xlfn.COMPOUNDVALUE(455)</f>
        <v>3111</v>
      </c>
      <c r="G66" s="110">
        <v>9051267</v>
      </c>
      <c r="H66" s="109">
        <f>_xlfn.COMPOUNDVALUE(456)</f>
        <v>99</v>
      </c>
      <c r="I66" s="111">
        <v>717667</v>
      </c>
      <c r="J66" s="109">
        <v>140</v>
      </c>
      <c r="K66" s="111">
        <v>8524</v>
      </c>
      <c r="L66" s="109">
        <v>3221</v>
      </c>
      <c r="M66" s="111">
        <v>8342124</v>
      </c>
      <c r="N66" s="112" t="s">
        <v>119</v>
      </c>
    </row>
    <row r="67" spans="1:14" ht="15.75" customHeight="1">
      <c r="A67" s="108" t="s">
        <v>146</v>
      </c>
      <c r="B67" s="109">
        <f>_xlfn.COMPOUNDVALUE(457)</f>
        <v>533</v>
      </c>
      <c r="C67" s="110">
        <v>1406470</v>
      </c>
      <c r="D67" s="109">
        <f>_xlfn.COMPOUNDVALUE(458)</f>
        <v>209</v>
      </c>
      <c r="E67" s="110">
        <v>74784</v>
      </c>
      <c r="F67" s="109">
        <f>_xlfn.COMPOUNDVALUE(459)</f>
        <v>742</v>
      </c>
      <c r="G67" s="110">
        <v>1481254</v>
      </c>
      <c r="H67" s="109">
        <f>_xlfn.COMPOUNDVALUE(460)</f>
        <v>28</v>
      </c>
      <c r="I67" s="111">
        <v>26327</v>
      </c>
      <c r="J67" s="109">
        <v>45</v>
      </c>
      <c r="K67" s="111">
        <v>4414</v>
      </c>
      <c r="L67" s="109">
        <v>777</v>
      </c>
      <c r="M67" s="111">
        <v>1459341</v>
      </c>
      <c r="N67" s="112" t="s">
        <v>121</v>
      </c>
    </row>
    <row r="68" spans="1:14" ht="15.75" customHeight="1">
      <c r="A68" s="113" t="s">
        <v>147</v>
      </c>
      <c r="B68" s="114">
        <v>22473</v>
      </c>
      <c r="C68" s="115">
        <v>103991162</v>
      </c>
      <c r="D68" s="114">
        <v>9691</v>
      </c>
      <c r="E68" s="115">
        <v>3555120</v>
      </c>
      <c r="F68" s="114">
        <v>32164</v>
      </c>
      <c r="G68" s="115">
        <v>107546282</v>
      </c>
      <c r="H68" s="114">
        <v>1096</v>
      </c>
      <c r="I68" s="116">
        <v>4738799</v>
      </c>
      <c r="J68" s="114">
        <v>1804</v>
      </c>
      <c r="K68" s="116">
        <v>75799</v>
      </c>
      <c r="L68" s="114">
        <v>33459</v>
      </c>
      <c r="M68" s="116">
        <v>102883282</v>
      </c>
      <c r="N68" s="117" t="s">
        <v>123</v>
      </c>
    </row>
    <row r="69" spans="1:14" ht="15.75" customHeight="1">
      <c r="A69" s="118"/>
      <c r="B69" s="119"/>
      <c r="C69" s="120"/>
      <c r="D69" s="119"/>
      <c r="E69" s="120"/>
      <c r="F69" s="121"/>
      <c r="G69" s="120"/>
      <c r="H69" s="121"/>
      <c r="I69" s="120"/>
      <c r="J69" s="121"/>
      <c r="K69" s="120"/>
      <c r="L69" s="121"/>
      <c r="M69" s="120"/>
      <c r="N69" s="122"/>
    </row>
    <row r="70" spans="1:14" ht="15.75" customHeight="1">
      <c r="A70" s="102" t="s">
        <v>124</v>
      </c>
      <c r="B70" s="103">
        <f>_xlfn.COMPOUNDVALUE(461)</f>
        <v>4776</v>
      </c>
      <c r="C70" s="104">
        <v>24661873</v>
      </c>
      <c r="D70" s="103">
        <f>_xlfn.COMPOUNDVALUE(462)</f>
        <v>2315</v>
      </c>
      <c r="E70" s="104">
        <v>810231</v>
      </c>
      <c r="F70" s="103">
        <f>_xlfn.COMPOUNDVALUE(463)</f>
        <v>7091</v>
      </c>
      <c r="G70" s="104">
        <v>25472104</v>
      </c>
      <c r="H70" s="103">
        <f>_xlfn.COMPOUNDVALUE(464)</f>
        <v>194</v>
      </c>
      <c r="I70" s="105">
        <v>3039497</v>
      </c>
      <c r="J70" s="103">
        <v>522</v>
      </c>
      <c r="K70" s="105">
        <v>142302</v>
      </c>
      <c r="L70" s="103">
        <v>7325</v>
      </c>
      <c r="M70" s="105">
        <v>22574908</v>
      </c>
      <c r="N70" s="123" t="s">
        <v>124</v>
      </c>
    </row>
    <row r="71" spans="1:14" ht="15.75" customHeight="1">
      <c r="A71" s="102" t="s">
        <v>125</v>
      </c>
      <c r="B71" s="103">
        <f>_xlfn.COMPOUNDVALUE(465)</f>
        <v>3884</v>
      </c>
      <c r="C71" s="104">
        <v>16175125</v>
      </c>
      <c r="D71" s="103">
        <f>_xlfn.COMPOUNDVALUE(466)</f>
        <v>1814</v>
      </c>
      <c r="E71" s="104">
        <v>658509</v>
      </c>
      <c r="F71" s="103">
        <f>_xlfn.COMPOUNDVALUE(467)</f>
        <v>5698</v>
      </c>
      <c r="G71" s="104">
        <v>16833634</v>
      </c>
      <c r="H71" s="103">
        <f>_xlfn.COMPOUNDVALUE(468)</f>
        <v>225</v>
      </c>
      <c r="I71" s="105">
        <v>629399</v>
      </c>
      <c r="J71" s="103">
        <v>316</v>
      </c>
      <c r="K71" s="105">
        <v>10119</v>
      </c>
      <c r="L71" s="103">
        <v>5972</v>
      </c>
      <c r="M71" s="105">
        <v>16214354</v>
      </c>
      <c r="N71" s="106" t="s">
        <v>125</v>
      </c>
    </row>
    <row r="72" spans="1:14" ht="15.75" customHeight="1">
      <c r="A72" s="102" t="s">
        <v>126</v>
      </c>
      <c r="B72" s="103">
        <f>_xlfn.COMPOUNDVALUE(469)</f>
        <v>2546</v>
      </c>
      <c r="C72" s="104">
        <v>10893756</v>
      </c>
      <c r="D72" s="103">
        <f>_xlfn.COMPOUNDVALUE(470)</f>
        <v>1321</v>
      </c>
      <c r="E72" s="104">
        <v>453736</v>
      </c>
      <c r="F72" s="103">
        <f>_xlfn.COMPOUNDVALUE(471)</f>
        <v>3867</v>
      </c>
      <c r="G72" s="104">
        <v>11347491</v>
      </c>
      <c r="H72" s="103">
        <f>_xlfn.COMPOUNDVALUE(472)</f>
        <v>126</v>
      </c>
      <c r="I72" s="105">
        <v>2175677</v>
      </c>
      <c r="J72" s="103">
        <v>251</v>
      </c>
      <c r="K72" s="105">
        <v>-43868</v>
      </c>
      <c r="L72" s="103">
        <v>4047</v>
      </c>
      <c r="M72" s="105">
        <v>9127946</v>
      </c>
      <c r="N72" s="106" t="s">
        <v>126</v>
      </c>
    </row>
    <row r="73" spans="1:14" ht="15.75" customHeight="1">
      <c r="A73" s="108" t="s">
        <v>127</v>
      </c>
      <c r="B73" s="109">
        <f>_xlfn.COMPOUNDVALUE(473)</f>
        <v>1764</v>
      </c>
      <c r="C73" s="110">
        <v>6533402</v>
      </c>
      <c r="D73" s="109">
        <f>_xlfn.COMPOUNDVALUE(474)</f>
        <v>780</v>
      </c>
      <c r="E73" s="110">
        <v>268306</v>
      </c>
      <c r="F73" s="109">
        <f>_xlfn.COMPOUNDVALUE(475)</f>
        <v>2544</v>
      </c>
      <c r="G73" s="110">
        <v>6801708</v>
      </c>
      <c r="H73" s="109">
        <f>_xlfn.COMPOUNDVALUE(476)</f>
        <v>47</v>
      </c>
      <c r="I73" s="111">
        <v>221769</v>
      </c>
      <c r="J73" s="109">
        <v>166</v>
      </c>
      <c r="K73" s="111">
        <v>32852</v>
      </c>
      <c r="L73" s="109">
        <v>2601</v>
      </c>
      <c r="M73" s="111">
        <v>6612791</v>
      </c>
      <c r="N73" s="112" t="s">
        <v>127</v>
      </c>
    </row>
    <row r="74" spans="1:14" ht="15.75" customHeight="1">
      <c r="A74" s="108" t="s">
        <v>128</v>
      </c>
      <c r="B74" s="109">
        <f>_xlfn.COMPOUNDVALUE(477)</f>
        <v>2304</v>
      </c>
      <c r="C74" s="110">
        <v>9462940</v>
      </c>
      <c r="D74" s="109">
        <f>_xlfn.COMPOUNDVALUE(478)</f>
        <v>1254</v>
      </c>
      <c r="E74" s="110">
        <v>429881</v>
      </c>
      <c r="F74" s="109">
        <f>_xlfn.COMPOUNDVALUE(479)</f>
        <v>3558</v>
      </c>
      <c r="G74" s="110">
        <v>9892821</v>
      </c>
      <c r="H74" s="109">
        <f>_xlfn.COMPOUNDVALUE(480)</f>
        <v>158</v>
      </c>
      <c r="I74" s="111">
        <v>2355596</v>
      </c>
      <c r="J74" s="109">
        <v>182</v>
      </c>
      <c r="K74" s="111">
        <v>21058</v>
      </c>
      <c r="L74" s="109">
        <v>3751</v>
      </c>
      <c r="M74" s="111">
        <v>7558284</v>
      </c>
      <c r="N74" s="112" t="s">
        <v>128</v>
      </c>
    </row>
    <row r="75" spans="1:14" ht="15.75" customHeight="1">
      <c r="A75" s="108" t="s">
        <v>129</v>
      </c>
      <c r="B75" s="109">
        <f>_xlfn.COMPOUNDVALUE(481)</f>
        <v>1742</v>
      </c>
      <c r="C75" s="110">
        <v>7188121</v>
      </c>
      <c r="D75" s="109">
        <f>_xlfn.COMPOUNDVALUE(482)</f>
        <v>899</v>
      </c>
      <c r="E75" s="110">
        <v>310204</v>
      </c>
      <c r="F75" s="109">
        <f>_xlfn.COMPOUNDVALUE(483)</f>
        <v>2641</v>
      </c>
      <c r="G75" s="110">
        <v>7498325</v>
      </c>
      <c r="H75" s="109">
        <f>_xlfn.COMPOUNDVALUE(484)</f>
        <v>123</v>
      </c>
      <c r="I75" s="111">
        <v>1016580</v>
      </c>
      <c r="J75" s="109">
        <v>139</v>
      </c>
      <c r="K75" s="111">
        <v>3986</v>
      </c>
      <c r="L75" s="109">
        <v>2783</v>
      </c>
      <c r="M75" s="111">
        <v>6485731</v>
      </c>
      <c r="N75" s="112" t="s">
        <v>129</v>
      </c>
    </row>
    <row r="76" spans="1:14" ht="15.75" customHeight="1">
      <c r="A76" s="108" t="s">
        <v>130</v>
      </c>
      <c r="B76" s="109">
        <f>_xlfn.COMPOUNDVALUE(485)</f>
        <v>1066</v>
      </c>
      <c r="C76" s="110">
        <v>2661847</v>
      </c>
      <c r="D76" s="109">
        <f>_xlfn.COMPOUNDVALUE(486)</f>
        <v>557</v>
      </c>
      <c r="E76" s="110">
        <v>183998</v>
      </c>
      <c r="F76" s="109">
        <f>_xlfn.COMPOUNDVALUE(487)</f>
        <v>1623</v>
      </c>
      <c r="G76" s="110">
        <v>2845845</v>
      </c>
      <c r="H76" s="109">
        <f>_xlfn.COMPOUNDVALUE(488)</f>
        <v>64</v>
      </c>
      <c r="I76" s="111">
        <v>79297</v>
      </c>
      <c r="J76" s="109">
        <v>101</v>
      </c>
      <c r="K76" s="111">
        <v>5010</v>
      </c>
      <c r="L76" s="109">
        <v>1691</v>
      </c>
      <c r="M76" s="111">
        <v>2771558</v>
      </c>
      <c r="N76" s="112" t="s">
        <v>130</v>
      </c>
    </row>
    <row r="77" spans="1:14" ht="15.75" customHeight="1">
      <c r="A77" s="108" t="s">
        <v>131</v>
      </c>
      <c r="B77" s="109">
        <f>_xlfn.COMPOUNDVALUE(489)</f>
        <v>637</v>
      </c>
      <c r="C77" s="110">
        <v>1652098</v>
      </c>
      <c r="D77" s="109">
        <f>_xlfn.COMPOUNDVALUE(490)</f>
        <v>329</v>
      </c>
      <c r="E77" s="110">
        <v>105767</v>
      </c>
      <c r="F77" s="109">
        <f>_xlfn.COMPOUNDVALUE(491)</f>
        <v>966</v>
      </c>
      <c r="G77" s="110">
        <v>1757866</v>
      </c>
      <c r="H77" s="109">
        <f>_xlfn.COMPOUNDVALUE(492)</f>
        <v>19</v>
      </c>
      <c r="I77" s="111">
        <v>60824</v>
      </c>
      <c r="J77" s="109">
        <v>45</v>
      </c>
      <c r="K77" s="111">
        <v>23550</v>
      </c>
      <c r="L77" s="109">
        <v>994</v>
      </c>
      <c r="M77" s="111">
        <v>1720591</v>
      </c>
      <c r="N77" s="112" t="s">
        <v>131</v>
      </c>
    </row>
    <row r="78" spans="1:14" ht="15.75" customHeight="1">
      <c r="A78" s="108" t="s">
        <v>132</v>
      </c>
      <c r="B78" s="109">
        <f>_xlfn.COMPOUNDVALUE(493)</f>
        <v>1986</v>
      </c>
      <c r="C78" s="110">
        <v>6340594</v>
      </c>
      <c r="D78" s="109">
        <f>_xlfn.COMPOUNDVALUE(494)</f>
        <v>921</v>
      </c>
      <c r="E78" s="110">
        <v>338983</v>
      </c>
      <c r="F78" s="109">
        <f>_xlfn.COMPOUNDVALUE(495)</f>
        <v>2907</v>
      </c>
      <c r="G78" s="110">
        <v>6679577</v>
      </c>
      <c r="H78" s="109">
        <f>_xlfn.COMPOUNDVALUE(496)</f>
        <v>111</v>
      </c>
      <c r="I78" s="111">
        <v>1708534</v>
      </c>
      <c r="J78" s="109">
        <v>215</v>
      </c>
      <c r="K78" s="111">
        <v>7572</v>
      </c>
      <c r="L78" s="109">
        <v>3058</v>
      </c>
      <c r="M78" s="111">
        <v>4978615</v>
      </c>
      <c r="N78" s="112" t="s">
        <v>132</v>
      </c>
    </row>
    <row r="79" spans="1:14" ht="15.75" customHeight="1">
      <c r="A79" s="108" t="s">
        <v>133</v>
      </c>
      <c r="B79" s="109">
        <f>_xlfn.COMPOUNDVALUE(497)</f>
        <v>326</v>
      </c>
      <c r="C79" s="110">
        <v>1007930</v>
      </c>
      <c r="D79" s="109">
        <f>_xlfn.COMPOUNDVALUE(498)</f>
        <v>160</v>
      </c>
      <c r="E79" s="110">
        <v>56638</v>
      </c>
      <c r="F79" s="109">
        <f>_xlfn.COMPOUNDVALUE(499)</f>
        <v>486</v>
      </c>
      <c r="G79" s="110">
        <v>1064568</v>
      </c>
      <c r="H79" s="109">
        <f>_xlfn.COMPOUNDVALUE(500)</f>
        <v>14</v>
      </c>
      <c r="I79" s="111">
        <v>8080</v>
      </c>
      <c r="J79" s="109">
        <v>37</v>
      </c>
      <c r="K79" s="111">
        <v>2798</v>
      </c>
      <c r="L79" s="109">
        <v>502</v>
      </c>
      <c r="M79" s="111">
        <v>1059286</v>
      </c>
      <c r="N79" s="112" t="s">
        <v>133</v>
      </c>
    </row>
    <row r="80" spans="1:14" ht="15.75" customHeight="1">
      <c r="A80" s="113" t="s">
        <v>148</v>
      </c>
      <c r="B80" s="114">
        <v>21031</v>
      </c>
      <c r="C80" s="115">
        <v>86577687</v>
      </c>
      <c r="D80" s="114">
        <v>10350</v>
      </c>
      <c r="E80" s="115">
        <v>3616252</v>
      </c>
      <c r="F80" s="114">
        <v>31381</v>
      </c>
      <c r="G80" s="115">
        <v>90193939</v>
      </c>
      <c r="H80" s="114">
        <v>1081</v>
      </c>
      <c r="I80" s="116">
        <v>11295252</v>
      </c>
      <c r="J80" s="114">
        <v>1974</v>
      </c>
      <c r="K80" s="116">
        <v>205378</v>
      </c>
      <c r="L80" s="114">
        <v>32724</v>
      </c>
      <c r="M80" s="116">
        <v>79104065</v>
      </c>
      <c r="N80" s="117" t="s">
        <v>135</v>
      </c>
    </row>
    <row r="81" spans="1:14" ht="15.75" customHeight="1" thickBot="1">
      <c r="A81" s="124"/>
      <c r="B81" s="125"/>
      <c r="C81" s="126"/>
      <c r="D81" s="125"/>
      <c r="E81" s="126"/>
      <c r="F81" s="127"/>
      <c r="G81" s="126"/>
      <c r="H81" s="127"/>
      <c r="I81" s="126"/>
      <c r="J81" s="127"/>
      <c r="K81" s="126"/>
      <c r="L81" s="127"/>
      <c r="M81" s="126"/>
      <c r="N81" s="128"/>
    </row>
    <row r="82" spans="1:14" ht="15.75" customHeight="1" thickBot="1" thickTop="1">
      <c r="A82" s="130" t="s">
        <v>149</v>
      </c>
      <c r="B82" s="131">
        <v>162637</v>
      </c>
      <c r="C82" s="132">
        <v>685139796</v>
      </c>
      <c r="D82" s="131">
        <v>80945</v>
      </c>
      <c r="E82" s="132">
        <v>29760506</v>
      </c>
      <c r="F82" s="131">
        <v>243582</v>
      </c>
      <c r="G82" s="132">
        <v>714900303</v>
      </c>
      <c r="H82" s="131">
        <v>9239</v>
      </c>
      <c r="I82" s="133">
        <v>47702366</v>
      </c>
      <c r="J82" s="131">
        <v>14561</v>
      </c>
      <c r="K82" s="133">
        <v>-12153604</v>
      </c>
      <c r="L82" s="131">
        <v>254847</v>
      </c>
      <c r="M82" s="133">
        <v>655044332</v>
      </c>
      <c r="N82" s="134" t="s">
        <v>137</v>
      </c>
    </row>
    <row r="83" spans="1:14" ht="13.5">
      <c r="A83" s="200" t="s">
        <v>138</v>
      </c>
      <c r="B83" s="200"/>
      <c r="C83" s="200"/>
      <c r="D83" s="200"/>
      <c r="E83" s="200"/>
      <c r="F83" s="200"/>
      <c r="G83" s="200"/>
      <c r="H83" s="200"/>
      <c r="I83" s="200"/>
      <c r="J83" s="135"/>
      <c r="K83" s="135"/>
      <c r="L83" s="88"/>
      <c r="M83" s="88"/>
      <c r="N83" s="88"/>
    </row>
  </sheetData>
  <sheetProtection/>
  <mergeCells count="11">
    <mergeCell ref="A2:I2"/>
    <mergeCell ref="A3:A5"/>
    <mergeCell ref="B3:G3"/>
    <mergeCell ref="H3:I4"/>
    <mergeCell ref="J3:K4"/>
    <mergeCell ref="N3:N5"/>
    <mergeCell ref="B4:C4"/>
    <mergeCell ref="D4:E4"/>
    <mergeCell ref="F4:G4"/>
    <mergeCell ref="A83:I83"/>
    <mergeCell ref="L3:M4"/>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3" r:id="rId1"/>
  <headerFooter alignWithMargins="0">
    <oddFooter>&amp;R関東信越国税局
消費税
(H24)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83"/>
  <sheetViews>
    <sheetView zoomScale="85" zoomScaleNormal="85" zoomScaleSheetLayoutView="85" zoomScalePageLayoutView="0" workbookViewId="0" topLeftCell="A1">
      <selection activeCell="A1" sqref="A1"/>
    </sheetView>
  </sheetViews>
  <sheetFormatPr defaultColWidth="9.00390625" defaultRowHeight="13.5"/>
  <cols>
    <col min="1" max="1" width="10.375" style="89" customWidth="1"/>
    <col min="2" max="2" width="8.625" style="89" customWidth="1"/>
    <col min="3" max="3" width="10.625" style="89" customWidth="1"/>
    <col min="4" max="4" width="8.625" style="89" customWidth="1"/>
    <col min="5" max="5" width="10.625" style="89" customWidth="1"/>
    <col min="6" max="6" width="8.625" style="89" customWidth="1"/>
    <col min="7" max="7" width="10.625" style="89" customWidth="1"/>
    <col min="8" max="8" width="8.625" style="89" customWidth="1"/>
    <col min="9" max="9" width="10.625" style="89" customWidth="1"/>
    <col min="10" max="10" width="8.625" style="89" customWidth="1"/>
    <col min="11" max="11" width="10.625" style="89" customWidth="1"/>
    <col min="12" max="12" width="8.625" style="89" customWidth="1"/>
    <col min="13" max="13" width="10.625" style="89" customWidth="1"/>
    <col min="14" max="17" width="8.625" style="89" customWidth="1"/>
    <col min="18" max="18" width="10.375" style="89" customWidth="1"/>
    <col min="19" max="16384" width="9.00390625" style="89" customWidth="1"/>
  </cols>
  <sheetData>
    <row r="1" spans="1:16" ht="13.5">
      <c r="A1" s="87" t="s">
        <v>139</v>
      </c>
      <c r="B1" s="87"/>
      <c r="C1" s="87"/>
      <c r="D1" s="87"/>
      <c r="E1" s="87"/>
      <c r="F1" s="87"/>
      <c r="G1" s="87"/>
      <c r="H1" s="87"/>
      <c r="I1" s="87"/>
      <c r="J1" s="87"/>
      <c r="K1" s="87"/>
      <c r="L1" s="88"/>
      <c r="M1" s="88"/>
      <c r="N1" s="88"/>
      <c r="O1" s="88"/>
      <c r="P1" s="88"/>
    </row>
    <row r="2" spans="1:16" ht="14.25" thickBot="1">
      <c r="A2" s="210" t="s">
        <v>150</v>
      </c>
      <c r="B2" s="210"/>
      <c r="C2" s="210"/>
      <c r="D2" s="210"/>
      <c r="E2" s="210"/>
      <c r="F2" s="210"/>
      <c r="G2" s="210"/>
      <c r="H2" s="210"/>
      <c r="I2" s="210"/>
      <c r="J2" s="135"/>
      <c r="K2" s="135"/>
      <c r="L2" s="88"/>
      <c r="M2" s="88"/>
      <c r="N2" s="88"/>
      <c r="O2" s="88"/>
      <c r="P2" s="88"/>
    </row>
    <row r="3" spans="1:18" ht="19.5" customHeight="1">
      <c r="A3" s="205" t="s">
        <v>46</v>
      </c>
      <c r="B3" s="208" t="s">
        <v>47</v>
      </c>
      <c r="C3" s="208"/>
      <c r="D3" s="208"/>
      <c r="E3" s="208"/>
      <c r="F3" s="208"/>
      <c r="G3" s="208"/>
      <c r="H3" s="208" t="s">
        <v>13</v>
      </c>
      <c r="I3" s="208"/>
      <c r="J3" s="220" t="s">
        <v>48</v>
      </c>
      <c r="K3" s="208"/>
      <c r="L3" s="208" t="s">
        <v>49</v>
      </c>
      <c r="M3" s="208"/>
      <c r="N3" s="211" t="s">
        <v>151</v>
      </c>
      <c r="O3" s="212"/>
      <c r="P3" s="212"/>
      <c r="Q3" s="212"/>
      <c r="R3" s="194" t="s">
        <v>141</v>
      </c>
    </row>
    <row r="4" spans="1:18" ht="17.25" customHeight="1">
      <c r="A4" s="206"/>
      <c r="B4" s="197" t="s">
        <v>18</v>
      </c>
      <c r="C4" s="197"/>
      <c r="D4" s="197" t="s">
        <v>51</v>
      </c>
      <c r="E4" s="197"/>
      <c r="F4" s="197" t="s">
        <v>52</v>
      </c>
      <c r="G4" s="197"/>
      <c r="H4" s="197"/>
      <c r="I4" s="197"/>
      <c r="J4" s="197"/>
      <c r="K4" s="197"/>
      <c r="L4" s="197"/>
      <c r="M4" s="197"/>
      <c r="N4" s="213" t="s">
        <v>152</v>
      </c>
      <c r="O4" s="215" t="s">
        <v>153</v>
      </c>
      <c r="P4" s="217" t="s">
        <v>154</v>
      </c>
      <c r="Q4" s="203" t="s">
        <v>155</v>
      </c>
      <c r="R4" s="195"/>
    </row>
    <row r="5" spans="1:18" ht="28.5" customHeight="1">
      <c r="A5" s="207"/>
      <c r="B5" s="90" t="s">
        <v>156</v>
      </c>
      <c r="C5" s="92" t="s">
        <v>157</v>
      </c>
      <c r="D5" s="90" t="s">
        <v>156</v>
      </c>
      <c r="E5" s="92" t="s">
        <v>157</v>
      </c>
      <c r="F5" s="90" t="s">
        <v>156</v>
      </c>
      <c r="G5" s="92" t="s">
        <v>55</v>
      </c>
      <c r="H5" s="90" t="s">
        <v>156</v>
      </c>
      <c r="I5" s="92" t="s">
        <v>56</v>
      </c>
      <c r="J5" s="90" t="s">
        <v>156</v>
      </c>
      <c r="K5" s="92" t="s">
        <v>57</v>
      </c>
      <c r="L5" s="90" t="s">
        <v>156</v>
      </c>
      <c r="M5" s="138" t="s">
        <v>158</v>
      </c>
      <c r="N5" s="214"/>
      <c r="O5" s="216"/>
      <c r="P5" s="218"/>
      <c r="Q5" s="219"/>
      <c r="R5" s="196"/>
    </row>
    <row r="6" spans="1:18" s="137" customFormat="1" ht="10.5">
      <c r="A6" s="96"/>
      <c r="B6" s="97" t="s">
        <v>4</v>
      </c>
      <c r="C6" s="98" t="s">
        <v>5</v>
      </c>
      <c r="D6" s="97" t="s">
        <v>4</v>
      </c>
      <c r="E6" s="98" t="s">
        <v>5</v>
      </c>
      <c r="F6" s="97" t="s">
        <v>4</v>
      </c>
      <c r="G6" s="98" t="s">
        <v>5</v>
      </c>
      <c r="H6" s="97" t="s">
        <v>4</v>
      </c>
      <c r="I6" s="98" t="s">
        <v>5</v>
      </c>
      <c r="J6" s="97" t="s">
        <v>4</v>
      </c>
      <c r="K6" s="98" t="s">
        <v>5</v>
      </c>
      <c r="L6" s="97" t="s">
        <v>4</v>
      </c>
      <c r="M6" s="98" t="s">
        <v>5</v>
      </c>
      <c r="N6" s="97" t="s">
        <v>4</v>
      </c>
      <c r="O6" s="139" t="s">
        <v>4</v>
      </c>
      <c r="P6" s="139" t="s">
        <v>4</v>
      </c>
      <c r="Q6" s="140" t="s">
        <v>4</v>
      </c>
      <c r="R6" s="100"/>
    </row>
    <row r="7" spans="1:18" ht="15.75" customHeight="1">
      <c r="A7" s="102" t="s">
        <v>59</v>
      </c>
      <c r="B7" s="103">
        <f>_xlfn.COMPOUNDVALUE(501)</f>
        <v>6202</v>
      </c>
      <c r="C7" s="104">
        <v>24526234</v>
      </c>
      <c r="D7" s="103">
        <f>_xlfn.COMPOUNDVALUE(502)</f>
        <v>4721</v>
      </c>
      <c r="E7" s="104">
        <v>1520747</v>
      </c>
      <c r="F7" s="103">
        <f>_xlfn.COMPOUNDVALUE(503)</f>
        <v>10923</v>
      </c>
      <c r="G7" s="104">
        <v>26046982</v>
      </c>
      <c r="H7" s="103">
        <f>_xlfn.COMPOUNDVALUE(504)</f>
        <v>358</v>
      </c>
      <c r="I7" s="105">
        <v>1139353</v>
      </c>
      <c r="J7" s="103">
        <v>823</v>
      </c>
      <c r="K7" s="105">
        <v>93569</v>
      </c>
      <c r="L7" s="103">
        <v>11530</v>
      </c>
      <c r="M7" s="105">
        <v>25001197</v>
      </c>
      <c r="N7" s="103">
        <v>11782</v>
      </c>
      <c r="O7" s="141">
        <v>234</v>
      </c>
      <c r="P7" s="141">
        <v>28</v>
      </c>
      <c r="Q7" s="142">
        <v>12044</v>
      </c>
      <c r="R7" s="106" t="s">
        <v>59</v>
      </c>
    </row>
    <row r="8" spans="1:18" ht="15.75" customHeight="1">
      <c r="A8" s="108" t="s">
        <v>60</v>
      </c>
      <c r="B8" s="109">
        <f>_xlfn.COMPOUNDVALUE(505)</f>
        <v>2528</v>
      </c>
      <c r="C8" s="110">
        <v>14292832</v>
      </c>
      <c r="D8" s="109">
        <f>_xlfn.COMPOUNDVALUE(506)</f>
        <v>2074</v>
      </c>
      <c r="E8" s="110">
        <v>685195</v>
      </c>
      <c r="F8" s="109">
        <f>_xlfn.COMPOUNDVALUE(507)</f>
        <v>4602</v>
      </c>
      <c r="G8" s="110">
        <v>14978026</v>
      </c>
      <c r="H8" s="109">
        <f>_xlfn.COMPOUNDVALUE(508)</f>
        <v>139</v>
      </c>
      <c r="I8" s="111">
        <v>201125</v>
      </c>
      <c r="J8" s="109">
        <v>327</v>
      </c>
      <c r="K8" s="111">
        <v>86274</v>
      </c>
      <c r="L8" s="109">
        <v>4842</v>
      </c>
      <c r="M8" s="111">
        <v>14863175</v>
      </c>
      <c r="N8" s="103">
        <v>5031</v>
      </c>
      <c r="O8" s="141">
        <v>80</v>
      </c>
      <c r="P8" s="141">
        <v>3</v>
      </c>
      <c r="Q8" s="142">
        <v>5114</v>
      </c>
      <c r="R8" s="112" t="s">
        <v>60</v>
      </c>
    </row>
    <row r="9" spans="1:18" ht="15.75" customHeight="1">
      <c r="A9" s="108" t="s">
        <v>61</v>
      </c>
      <c r="B9" s="109">
        <f>_xlfn.COMPOUNDVALUE(509)</f>
        <v>5922</v>
      </c>
      <c r="C9" s="110">
        <v>21384345</v>
      </c>
      <c r="D9" s="109">
        <f>_xlfn.COMPOUNDVALUE(510)</f>
        <v>4523</v>
      </c>
      <c r="E9" s="110">
        <v>1427681</v>
      </c>
      <c r="F9" s="109">
        <f>_xlfn.COMPOUNDVALUE(511)</f>
        <v>10445</v>
      </c>
      <c r="G9" s="110">
        <v>22812026</v>
      </c>
      <c r="H9" s="109">
        <f>_xlfn.COMPOUNDVALUE(512)</f>
        <v>413</v>
      </c>
      <c r="I9" s="111">
        <v>1942015</v>
      </c>
      <c r="J9" s="109">
        <v>815</v>
      </c>
      <c r="K9" s="111">
        <v>81832</v>
      </c>
      <c r="L9" s="109">
        <v>11145</v>
      </c>
      <c r="M9" s="111">
        <v>20951843</v>
      </c>
      <c r="N9" s="103">
        <v>11228</v>
      </c>
      <c r="O9" s="141">
        <v>329</v>
      </c>
      <c r="P9" s="141">
        <v>40</v>
      </c>
      <c r="Q9" s="142">
        <v>11597</v>
      </c>
      <c r="R9" s="112" t="s">
        <v>61</v>
      </c>
    </row>
    <row r="10" spans="1:18" ht="15.75" customHeight="1">
      <c r="A10" s="108" t="s">
        <v>62</v>
      </c>
      <c r="B10" s="109">
        <f>_xlfn.COMPOUNDVALUE(513)</f>
        <v>3272</v>
      </c>
      <c r="C10" s="110">
        <v>8520303</v>
      </c>
      <c r="D10" s="109">
        <f>_xlfn.COMPOUNDVALUE(514)</f>
        <v>3339</v>
      </c>
      <c r="E10" s="110">
        <v>935353</v>
      </c>
      <c r="F10" s="109">
        <f>_xlfn.COMPOUNDVALUE(515)</f>
        <v>6611</v>
      </c>
      <c r="G10" s="110">
        <v>9455656</v>
      </c>
      <c r="H10" s="109">
        <f>_xlfn.COMPOUNDVALUE(516)</f>
        <v>190</v>
      </c>
      <c r="I10" s="111">
        <v>280901</v>
      </c>
      <c r="J10" s="109">
        <v>307</v>
      </c>
      <c r="K10" s="111">
        <v>41450</v>
      </c>
      <c r="L10" s="109">
        <v>6899</v>
      </c>
      <c r="M10" s="111">
        <v>9216205</v>
      </c>
      <c r="N10" s="103">
        <v>6878</v>
      </c>
      <c r="O10" s="141">
        <v>141</v>
      </c>
      <c r="P10" s="141">
        <v>7</v>
      </c>
      <c r="Q10" s="142">
        <v>7026</v>
      </c>
      <c r="R10" s="112" t="s">
        <v>62</v>
      </c>
    </row>
    <row r="11" spans="1:18" ht="15.75" customHeight="1">
      <c r="A11" s="108" t="s">
        <v>63</v>
      </c>
      <c r="B11" s="109">
        <f>_xlfn.COMPOUNDVALUE(517)</f>
        <v>4654</v>
      </c>
      <c r="C11" s="110">
        <v>11479802</v>
      </c>
      <c r="D11" s="109">
        <f>_xlfn.COMPOUNDVALUE(518)</f>
        <v>4286</v>
      </c>
      <c r="E11" s="110">
        <v>1290979</v>
      </c>
      <c r="F11" s="109">
        <f>_xlfn.COMPOUNDVALUE(519)</f>
        <v>8940</v>
      </c>
      <c r="G11" s="110">
        <v>12770780</v>
      </c>
      <c r="H11" s="109">
        <f>_xlfn.COMPOUNDVALUE(520)</f>
        <v>239</v>
      </c>
      <c r="I11" s="111">
        <v>275510</v>
      </c>
      <c r="J11" s="109">
        <v>462</v>
      </c>
      <c r="K11" s="111">
        <v>58783</v>
      </c>
      <c r="L11" s="109">
        <v>9294</v>
      </c>
      <c r="M11" s="111">
        <v>12554053</v>
      </c>
      <c r="N11" s="103">
        <v>9662</v>
      </c>
      <c r="O11" s="141">
        <v>185</v>
      </c>
      <c r="P11" s="141">
        <v>18</v>
      </c>
      <c r="Q11" s="142">
        <v>9865</v>
      </c>
      <c r="R11" s="112" t="s">
        <v>63</v>
      </c>
    </row>
    <row r="12" spans="1:18" ht="15.75" customHeight="1">
      <c r="A12" s="108" t="s">
        <v>64</v>
      </c>
      <c r="B12" s="109">
        <f>_xlfn.COMPOUNDVALUE(521)</f>
        <v>3892</v>
      </c>
      <c r="C12" s="110">
        <v>7737072</v>
      </c>
      <c r="D12" s="109">
        <f>_xlfn.COMPOUNDVALUE(522)</f>
        <v>3244</v>
      </c>
      <c r="E12" s="110">
        <v>1045327</v>
      </c>
      <c r="F12" s="109">
        <f>_xlfn.COMPOUNDVALUE(523)</f>
        <v>7136</v>
      </c>
      <c r="G12" s="110">
        <v>8782398</v>
      </c>
      <c r="H12" s="109">
        <f>_xlfn.COMPOUNDVALUE(524)</f>
        <v>286</v>
      </c>
      <c r="I12" s="111">
        <v>384596</v>
      </c>
      <c r="J12" s="109">
        <v>662</v>
      </c>
      <c r="K12" s="111">
        <v>85911</v>
      </c>
      <c r="L12" s="109">
        <v>7714</v>
      </c>
      <c r="M12" s="111">
        <v>8483714</v>
      </c>
      <c r="N12" s="103">
        <v>7781</v>
      </c>
      <c r="O12" s="141">
        <v>182</v>
      </c>
      <c r="P12" s="141">
        <v>16</v>
      </c>
      <c r="Q12" s="142">
        <v>7979</v>
      </c>
      <c r="R12" s="112" t="s">
        <v>65</v>
      </c>
    </row>
    <row r="13" spans="1:18" ht="15.75" customHeight="1">
      <c r="A13" s="108" t="s">
        <v>66</v>
      </c>
      <c r="B13" s="109">
        <f>_xlfn.COMPOUNDVALUE(525)</f>
        <v>3533</v>
      </c>
      <c r="C13" s="110">
        <v>9812048</v>
      </c>
      <c r="D13" s="109">
        <f>_xlfn.COMPOUNDVALUE(526)</f>
        <v>2913</v>
      </c>
      <c r="E13" s="110">
        <v>915572</v>
      </c>
      <c r="F13" s="109">
        <f>_xlfn.COMPOUNDVALUE(527)</f>
        <v>6446</v>
      </c>
      <c r="G13" s="110">
        <v>10727620</v>
      </c>
      <c r="H13" s="109">
        <f>_xlfn.COMPOUNDVALUE(528)</f>
        <v>171</v>
      </c>
      <c r="I13" s="111">
        <v>1254210</v>
      </c>
      <c r="J13" s="109">
        <v>407</v>
      </c>
      <c r="K13" s="111">
        <v>65631</v>
      </c>
      <c r="L13" s="109">
        <v>6771</v>
      </c>
      <c r="M13" s="111">
        <v>9539041</v>
      </c>
      <c r="N13" s="103">
        <v>6733</v>
      </c>
      <c r="O13" s="141">
        <v>137</v>
      </c>
      <c r="P13" s="141">
        <v>11</v>
      </c>
      <c r="Q13" s="142">
        <v>6881</v>
      </c>
      <c r="R13" s="112" t="s">
        <v>66</v>
      </c>
    </row>
    <row r="14" spans="1:18" ht="15.75" customHeight="1">
      <c r="A14" s="108" t="s">
        <v>67</v>
      </c>
      <c r="B14" s="109">
        <f>_xlfn.COMPOUNDVALUE(529)</f>
        <v>3973</v>
      </c>
      <c r="C14" s="110">
        <v>9943731</v>
      </c>
      <c r="D14" s="109">
        <f>_xlfn.COMPOUNDVALUE(530)</f>
        <v>4081</v>
      </c>
      <c r="E14" s="110">
        <v>1204625</v>
      </c>
      <c r="F14" s="109">
        <f>_xlfn.COMPOUNDVALUE(531)</f>
        <v>8054</v>
      </c>
      <c r="G14" s="110">
        <v>11148357</v>
      </c>
      <c r="H14" s="109">
        <f>_xlfn.COMPOUNDVALUE(532)</f>
        <v>225</v>
      </c>
      <c r="I14" s="111">
        <v>521815</v>
      </c>
      <c r="J14" s="109">
        <v>428</v>
      </c>
      <c r="K14" s="111">
        <v>108574</v>
      </c>
      <c r="L14" s="109">
        <v>8439</v>
      </c>
      <c r="M14" s="111">
        <v>10735115</v>
      </c>
      <c r="N14" s="103">
        <v>8512</v>
      </c>
      <c r="O14" s="141">
        <v>139</v>
      </c>
      <c r="P14" s="141">
        <v>11</v>
      </c>
      <c r="Q14" s="142">
        <v>8662</v>
      </c>
      <c r="R14" s="112" t="s">
        <v>67</v>
      </c>
    </row>
    <row r="15" spans="1:18" ht="15.75" customHeight="1">
      <c r="A15" s="113" t="s">
        <v>159</v>
      </c>
      <c r="B15" s="114">
        <v>33976</v>
      </c>
      <c r="C15" s="115">
        <v>107696367</v>
      </c>
      <c r="D15" s="114">
        <v>29181</v>
      </c>
      <c r="E15" s="115">
        <v>9025478</v>
      </c>
      <c r="F15" s="114">
        <v>63157</v>
      </c>
      <c r="G15" s="115">
        <v>116721845</v>
      </c>
      <c r="H15" s="114">
        <v>2021</v>
      </c>
      <c r="I15" s="116">
        <v>5999525</v>
      </c>
      <c r="J15" s="114">
        <v>4231</v>
      </c>
      <c r="K15" s="116">
        <v>622025</v>
      </c>
      <c r="L15" s="114">
        <v>66634</v>
      </c>
      <c r="M15" s="116">
        <v>111344345</v>
      </c>
      <c r="N15" s="114">
        <v>67607</v>
      </c>
      <c r="O15" s="143">
        <v>1427</v>
      </c>
      <c r="P15" s="143">
        <v>134</v>
      </c>
      <c r="Q15" s="144">
        <v>69168</v>
      </c>
      <c r="R15" s="117" t="s">
        <v>69</v>
      </c>
    </row>
    <row r="16" spans="1:18" ht="15.75" customHeight="1">
      <c r="A16" s="118"/>
      <c r="B16" s="119"/>
      <c r="C16" s="120"/>
      <c r="D16" s="119"/>
      <c r="E16" s="120"/>
      <c r="F16" s="121"/>
      <c r="G16" s="120"/>
      <c r="H16" s="121"/>
      <c r="I16" s="120"/>
      <c r="J16" s="121"/>
      <c r="K16" s="120"/>
      <c r="L16" s="121"/>
      <c r="M16" s="120"/>
      <c r="N16" s="145"/>
      <c r="O16" s="146"/>
      <c r="P16" s="146"/>
      <c r="Q16" s="147"/>
      <c r="R16" s="148" t="s">
        <v>160</v>
      </c>
    </row>
    <row r="17" spans="1:18" ht="15.75" customHeight="1">
      <c r="A17" s="102" t="s">
        <v>70</v>
      </c>
      <c r="B17" s="103">
        <f>_xlfn.COMPOUNDVALUE(533)</f>
        <v>6844</v>
      </c>
      <c r="C17" s="104">
        <v>26936200</v>
      </c>
      <c r="D17" s="103">
        <f>_xlfn.COMPOUNDVALUE(534)</f>
        <v>5211</v>
      </c>
      <c r="E17" s="104">
        <v>1679011</v>
      </c>
      <c r="F17" s="103">
        <f>_xlfn.COMPOUNDVALUE(535)</f>
        <v>12055</v>
      </c>
      <c r="G17" s="104">
        <v>28615211</v>
      </c>
      <c r="H17" s="103">
        <f>_xlfn.COMPOUNDVALUE(536)</f>
        <v>283</v>
      </c>
      <c r="I17" s="105">
        <v>617730</v>
      </c>
      <c r="J17" s="103">
        <v>711</v>
      </c>
      <c r="K17" s="105">
        <v>-2315</v>
      </c>
      <c r="L17" s="103">
        <v>12540</v>
      </c>
      <c r="M17" s="105">
        <v>27995166</v>
      </c>
      <c r="N17" s="103">
        <v>12602</v>
      </c>
      <c r="O17" s="141">
        <v>273</v>
      </c>
      <c r="P17" s="141">
        <v>30</v>
      </c>
      <c r="Q17" s="142">
        <v>12905</v>
      </c>
      <c r="R17" s="112" t="s">
        <v>70</v>
      </c>
    </row>
    <row r="18" spans="1:18" ht="15.75" customHeight="1">
      <c r="A18" s="108" t="s">
        <v>71</v>
      </c>
      <c r="B18" s="109">
        <f>_xlfn.COMPOUNDVALUE(537)</f>
        <v>2118</v>
      </c>
      <c r="C18" s="110">
        <v>6275675</v>
      </c>
      <c r="D18" s="109">
        <f>_xlfn.COMPOUNDVALUE(538)</f>
        <v>1760</v>
      </c>
      <c r="E18" s="110">
        <v>530309</v>
      </c>
      <c r="F18" s="109">
        <f>_xlfn.COMPOUNDVALUE(539)</f>
        <v>3878</v>
      </c>
      <c r="G18" s="110">
        <v>6805984</v>
      </c>
      <c r="H18" s="109">
        <f>_xlfn.COMPOUNDVALUE(540)</f>
        <v>102</v>
      </c>
      <c r="I18" s="111">
        <v>87473</v>
      </c>
      <c r="J18" s="109">
        <v>270</v>
      </c>
      <c r="K18" s="111">
        <v>67422</v>
      </c>
      <c r="L18" s="109">
        <v>4056</v>
      </c>
      <c r="M18" s="111">
        <v>6785932</v>
      </c>
      <c r="N18" s="103">
        <v>4144</v>
      </c>
      <c r="O18" s="141">
        <v>65</v>
      </c>
      <c r="P18" s="141">
        <v>3</v>
      </c>
      <c r="Q18" s="142">
        <v>4212</v>
      </c>
      <c r="R18" s="112" t="s">
        <v>71</v>
      </c>
    </row>
    <row r="19" spans="1:18" ht="15.75" customHeight="1">
      <c r="A19" s="108" t="s">
        <v>72</v>
      </c>
      <c r="B19" s="109">
        <f>_xlfn.COMPOUNDVALUE(541)</f>
        <v>4943</v>
      </c>
      <c r="C19" s="110">
        <v>14542679</v>
      </c>
      <c r="D19" s="109">
        <f>_xlfn.COMPOUNDVALUE(542)</f>
        <v>4517</v>
      </c>
      <c r="E19" s="110">
        <v>1349931</v>
      </c>
      <c r="F19" s="109">
        <f>_xlfn.COMPOUNDVALUE(543)</f>
        <v>9460</v>
      </c>
      <c r="G19" s="110">
        <v>15892610</v>
      </c>
      <c r="H19" s="109">
        <f>_xlfn.COMPOUNDVALUE(544)</f>
        <v>310</v>
      </c>
      <c r="I19" s="111">
        <v>1024172</v>
      </c>
      <c r="J19" s="109">
        <v>721</v>
      </c>
      <c r="K19" s="111">
        <v>81533</v>
      </c>
      <c r="L19" s="109">
        <v>9916</v>
      </c>
      <c r="M19" s="111">
        <v>14949971</v>
      </c>
      <c r="N19" s="103">
        <v>10123</v>
      </c>
      <c r="O19" s="141">
        <v>193</v>
      </c>
      <c r="P19" s="141">
        <v>17</v>
      </c>
      <c r="Q19" s="142">
        <v>10333</v>
      </c>
      <c r="R19" s="112" t="s">
        <v>72</v>
      </c>
    </row>
    <row r="20" spans="1:18" ht="15.75" customHeight="1">
      <c r="A20" s="108" t="s">
        <v>73</v>
      </c>
      <c r="B20" s="109">
        <f>_xlfn.COMPOUNDVALUE(545)</f>
        <v>1583</v>
      </c>
      <c r="C20" s="110">
        <v>3870069</v>
      </c>
      <c r="D20" s="109">
        <f>_xlfn.COMPOUNDVALUE(546)</f>
        <v>1371</v>
      </c>
      <c r="E20" s="110">
        <v>411740</v>
      </c>
      <c r="F20" s="109">
        <f>_xlfn.COMPOUNDVALUE(547)</f>
        <v>2954</v>
      </c>
      <c r="G20" s="110">
        <v>4281808</v>
      </c>
      <c r="H20" s="109">
        <f>_xlfn.COMPOUNDVALUE(548)</f>
        <v>82</v>
      </c>
      <c r="I20" s="111">
        <v>66642</v>
      </c>
      <c r="J20" s="109">
        <v>147</v>
      </c>
      <c r="K20" s="111">
        <v>16152</v>
      </c>
      <c r="L20" s="109">
        <v>3061</v>
      </c>
      <c r="M20" s="111">
        <v>4231318</v>
      </c>
      <c r="N20" s="103">
        <v>3000</v>
      </c>
      <c r="O20" s="141">
        <v>46</v>
      </c>
      <c r="P20" s="141">
        <v>9</v>
      </c>
      <c r="Q20" s="142">
        <v>3055</v>
      </c>
      <c r="R20" s="112" t="s">
        <v>73</v>
      </c>
    </row>
    <row r="21" spans="1:18" ht="15.75" customHeight="1">
      <c r="A21" s="108" t="s">
        <v>74</v>
      </c>
      <c r="B21" s="109">
        <f>_xlfn.COMPOUNDVALUE(549)</f>
        <v>2587</v>
      </c>
      <c r="C21" s="110">
        <v>5848485</v>
      </c>
      <c r="D21" s="109">
        <f>_xlfn.COMPOUNDVALUE(550)</f>
        <v>2307</v>
      </c>
      <c r="E21" s="110">
        <v>659891</v>
      </c>
      <c r="F21" s="109">
        <f>_xlfn.COMPOUNDVALUE(551)</f>
        <v>4894</v>
      </c>
      <c r="G21" s="110">
        <v>6508375</v>
      </c>
      <c r="H21" s="109">
        <f>_xlfn.COMPOUNDVALUE(552)</f>
        <v>147</v>
      </c>
      <c r="I21" s="111">
        <v>214422</v>
      </c>
      <c r="J21" s="109">
        <v>318</v>
      </c>
      <c r="K21" s="111">
        <v>22207</v>
      </c>
      <c r="L21" s="109">
        <v>5122</v>
      </c>
      <c r="M21" s="111">
        <v>6316161</v>
      </c>
      <c r="N21" s="103">
        <v>4970</v>
      </c>
      <c r="O21" s="141">
        <v>90</v>
      </c>
      <c r="P21" s="141">
        <v>6</v>
      </c>
      <c r="Q21" s="142">
        <v>5066</v>
      </c>
      <c r="R21" s="112" t="s">
        <v>74</v>
      </c>
    </row>
    <row r="22" spans="1:18" ht="15.75" customHeight="1">
      <c r="A22" s="108" t="s">
        <v>75</v>
      </c>
      <c r="B22" s="109">
        <f>_xlfn.COMPOUNDVALUE(553)</f>
        <v>1598</v>
      </c>
      <c r="C22" s="110">
        <v>5354211</v>
      </c>
      <c r="D22" s="109">
        <f>_xlfn.COMPOUNDVALUE(554)</f>
        <v>1808</v>
      </c>
      <c r="E22" s="110">
        <v>509515</v>
      </c>
      <c r="F22" s="109">
        <f>_xlfn.COMPOUNDVALUE(555)</f>
        <v>3406</v>
      </c>
      <c r="G22" s="110">
        <v>5863727</v>
      </c>
      <c r="H22" s="109">
        <f>_xlfn.COMPOUNDVALUE(556)</f>
        <v>68</v>
      </c>
      <c r="I22" s="111">
        <v>95795</v>
      </c>
      <c r="J22" s="109">
        <v>229</v>
      </c>
      <c r="K22" s="111">
        <v>41402</v>
      </c>
      <c r="L22" s="109">
        <v>3530</v>
      </c>
      <c r="M22" s="111">
        <v>5809334</v>
      </c>
      <c r="N22" s="103">
        <v>3668</v>
      </c>
      <c r="O22" s="141">
        <v>51</v>
      </c>
      <c r="P22" s="141">
        <v>2</v>
      </c>
      <c r="Q22" s="142">
        <v>3721</v>
      </c>
      <c r="R22" s="112" t="s">
        <v>75</v>
      </c>
    </row>
    <row r="23" spans="1:18" ht="15.75" customHeight="1">
      <c r="A23" s="108" t="s">
        <v>76</v>
      </c>
      <c r="B23" s="109">
        <f>_xlfn.COMPOUNDVALUE(557)</f>
        <v>2763</v>
      </c>
      <c r="C23" s="110">
        <v>6349158</v>
      </c>
      <c r="D23" s="109">
        <f>_xlfn.COMPOUNDVALUE(558)</f>
        <v>2677</v>
      </c>
      <c r="E23" s="110">
        <v>783547</v>
      </c>
      <c r="F23" s="109">
        <f>_xlfn.COMPOUNDVALUE(559)</f>
        <v>5440</v>
      </c>
      <c r="G23" s="110">
        <v>7132705</v>
      </c>
      <c r="H23" s="109">
        <f>_xlfn.COMPOUNDVALUE(560)</f>
        <v>183</v>
      </c>
      <c r="I23" s="111">
        <v>1566563</v>
      </c>
      <c r="J23" s="109">
        <v>244</v>
      </c>
      <c r="K23" s="157">
        <v>-13583583</v>
      </c>
      <c r="L23" s="109">
        <v>5681</v>
      </c>
      <c r="M23" s="111">
        <v>-8017441</v>
      </c>
      <c r="N23" s="103">
        <v>5793</v>
      </c>
      <c r="O23" s="141">
        <v>141</v>
      </c>
      <c r="P23" s="141">
        <v>8</v>
      </c>
      <c r="Q23" s="142">
        <v>5942</v>
      </c>
      <c r="R23" s="112" t="s">
        <v>76</v>
      </c>
    </row>
    <row r="24" spans="1:18" ht="15.75" customHeight="1">
      <c r="A24" s="108" t="s">
        <v>77</v>
      </c>
      <c r="B24" s="109">
        <f>_xlfn.COMPOUNDVALUE(561)</f>
        <v>1665</v>
      </c>
      <c r="C24" s="110">
        <v>3480373</v>
      </c>
      <c r="D24" s="109">
        <f>_xlfn.COMPOUNDVALUE(562)</f>
        <v>1754</v>
      </c>
      <c r="E24" s="110">
        <v>501940</v>
      </c>
      <c r="F24" s="109">
        <f>_xlfn.COMPOUNDVALUE(563)</f>
        <v>3419</v>
      </c>
      <c r="G24" s="110">
        <v>3982313</v>
      </c>
      <c r="H24" s="109">
        <f>_xlfn.COMPOUNDVALUE(564)</f>
        <v>122</v>
      </c>
      <c r="I24" s="111">
        <v>468787</v>
      </c>
      <c r="J24" s="109">
        <v>283</v>
      </c>
      <c r="K24" s="111">
        <v>18867</v>
      </c>
      <c r="L24" s="109">
        <v>3606</v>
      </c>
      <c r="M24" s="111">
        <v>3532393</v>
      </c>
      <c r="N24" s="103">
        <v>3627</v>
      </c>
      <c r="O24" s="141">
        <v>60</v>
      </c>
      <c r="P24" s="141">
        <v>7</v>
      </c>
      <c r="Q24" s="142">
        <v>3694</v>
      </c>
      <c r="R24" s="112" t="s">
        <v>77</v>
      </c>
    </row>
    <row r="25" spans="1:18" ht="15.75" customHeight="1">
      <c r="A25" s="113" t="s">
        <v>78</v>
      </c>
      <c r="B25" s="114">
        <v>24101</v>
      </c>
      <c r="C25" s="115">
        <v>72656849</v>
      </c>
      <c r="D25" s="114">
        <v>21405</v>
      </c>
      <c r="E25" s="115">
        <v>6425883</v>
      </c>
      <c r="F25" s="114">
        <v>45506</v>
      </c>
      <c r="G25" s="115">
        <v>79082732</v>
      </c>
      <c r="H25" s="114">
        <v>1297</v>
      </c>
      <c r="I25" s="116">
        <v>4141584</v>
      </c>
      <c r="J25" s="114">
        <v>2923</v>
      </c>
      <c r="K25" s="158">
        <v>-13338315</v>
      </c>
      <c r="L25" s="114">
        <v>47512</v>
      </c>
      <c r="M25" s="116">
        <v>61602833</v>
      </c>
      <c r="N25" s="114">
        <v>47927</v>
      </c>
      <c r="O25" s="143">
        <v>919</v>
      </c>
      <c r="P25" s="143">
        <v>82</v>
      </c>
      <c r="Q25" s="144">
        <v>48928</v>
      </c>
      <c r="R25" s="117" t="s">
        <v>79</v>
      </c>
    </row>
    <row r="26" spans="1:18" ht="15.75" customHeight="1">
      <c r="A26" s="118"/>
      <c r="B26" s="119"/>
      <c r="C26" s="120"/>
      <c r="D26" s="119"/>
      <c r="E26" s="120"/>
      <c r="F26" s="121"/>
      <c r="G26" s="120"/>
      <c r="H26" s="121"/>
      <c r="I26" s="120"/>
      <c r="J26" s="121"/>
      <c r="K26" s="120"/>
      <c r="L26" s="121"/>
      <c r="M26" s="120"/>
      <c r="N26" s="145"/>
      <c r="O26" s="146"/>
      <c r="P26" s="146"/>
      <c r="Q26" s="147"/>
      <c r="R26" s="148" t="s">
        <v>160</v>
      </c>
    </row>
    <row r="27" spans="1:18" ht="15.75" customHeight="1">
      <c r="A27" s="102" t="s">
        <v>80</v>
      </c>
      <c r="B27" s="103">
        <f>_xlfn.COMPOUNDVALUE(565)</f>
        <v>4764</v>
      </c>
      <c r="C27" s="104">
        <v>20098930</v>
      </c>
      <c r="D27" s="103">
        <f>_xlfn.COMPOUNDVALUE(566)</f>
        <v>3533</v>
      </c>
      <c r="E27" s="104">
        <v>1084473</v>
      </c>
      <c r="F27" s="103">
        <f>_xlfn.COMPOUNDVALUE(567)</f>
        <v>8297</v>
      </c>
      <c r="G27" s="104">
        <v>21183403</v>
      </c>
      <c r="H27" s="103">
        <f>_xlfn.COMPOUNDVALUE(568)</f>
        <v>309</v>
      </c>
      <c r="I27" s="105">
        <v>404145</v>
      </c>
      <c r="J27" s="103">
        <v>645</v>
      </c>
      <c r="K27" s="105">
        <v>61563</v>
      </c>
      <c r="L27" s="103">
        <v>8788</v>
      </c>
      <c r="M27" s="105">
        <v>20840821</v>
      </c>
      <c r="N27" s="103">
        <v>8788</v>
      </c>
      <c r="O27" s="141">
        <v>170</v>
      </c>
      <c r="P27" s="141">
        <v>16</v>
      </c>
      <c r="Q27" s="142">
        <v>8974</v>
      </c>
      <c r="R27" s="112" t="s">
        <v>80</v>
      </c>
    </row>
    <row r="28" spans="1:18" ht="15.75" customHeight="1">
      <c r="A28" s="102" t="s">
        <v>81</v>
      </c>
      <c r="B28" s="103">
        <f>_xlfn.COMPOUNDVALUE(569)</f>
        <v>6655</v>
      </c>
      <c r="C28" s="104">
        <v>28150898</v>
      </c>
      <c r="D28" s="103">
        <f>_xlfn.COMPOUNDVALUE(570)</f>
        <v>5369</v>
      </c>
      <c r="E28" s="104">
        <v>1637132</v>
      </c>
      <c r="F28" s="103">
        <f>_xlfn.COMPOUNDVALUE(571)</f>
        <v>12024</v>
      </c>
      <c r="G28" s="104">
        <v>29788029</v>
      </c>
      <c r="H28" s="103">
        <f>_xlfn.COMPOUNDVALUE(572)</f>
        <v>349</v>
      </c>
      <c r="I28" s="105">
        <v>2892217</v>
      </c>
      <c r="J28" s="103">
        <v>709</v>
      </c>
      <c r="K28" s="105">
        <v>79671</v>
      </c>
      <c r="L28" s="103">
        <v>12533</v>
      </c>
      <c r="M28" s="105">
        <v>26975483</v>
      </c>
      <c r="N28" s="103">
        <v>12630</v>
      </c>
      <c r="O28" s="141">
        <v>210</v>
      </c>
      <c r="P28" s="141">
        <v>30</v>
      </c>
      <c r="Q28" s="142">
        <v>12870</v>
      </c>
      <c r="R28" s="112" t="s">
        <v>81</v>
      </c>
    </row>
    <row r="29" spans="1:18" ht="15.75" customHeight="1">
      <c r="A29" s="108" t="s">
        <v>82</v>
      </c>
      <c r="B29" s="109">
        <f>_xlfn.COMPOUNDVALUE(573)</f>
        <v>2512</v>
      </c>
      <c r="C29" s="110">
        <v>6396226</v>
      </c>
      <c r="D29" s="109">
        <f>_xlfn.COMPOUNDVALUE(574)</f>
        <v>2028</v>
      </c>
      <c r="E29" s="110">
        <v>574773</v>
      </c>
      <c r="F29" s="109">
        <f>_xlfn.COMPOUNDVALUE(575)</f>
        <v>4540</v>
      </c>
      <c r="G29" s="110">
        <v>6970999</v>
      </c>
      <c r="H29" s="109">
        <f>_xlfn.COMPOUNDVALUE(576)</f>
        <v>131</v>
      </c>
      <c r="I29" s="111">
        <v>750353</v>
      </c>
      <c r="J29" s="109">
        <v>242</v>
      </c>
      <c r="K29" s="111">
        <v>27302</v>
      </c>
      <c r="L29" s="109">
        <v>4728</v>
      </c>
      <c r="M29" s="111">
        <v>6247948</v>
      </c>
      <c r="N29" s="103">
        <v>4599</v>
      </c>
      <c r="O29" s="141">
        <v>74</v>
      </c>
      <c r="P29" s="141">
        <v>9</v>
      </c>
      <c r="Q29" s="142">
        <v>4682</v>
      </c>
      <c r="R29" s="112" t="s">
        <v>82</v>
      </c>
    </row>
    <row r="30" spans="1:18" ht="15.75" customHeight="1">
      <c r="A30" s="108" t="s">
        <v>83</v>
      </c>
      <c r="B30" s="109">
        <f>_xlfn.COMPOUNDVALUE(577)</f>
        <v>3020</v>
      </c>
      <c r="C30" s="110">
        <v>8802054</v>
      </c>
      <c r="D30" s="109">
        <f>_xlfn.COMPOUNDVALUE(578)</f>
        <v>2370</v>
      </c>
      <c r="E30" s="110">
        <v>705346</v>
      </c>
      <c r="F30" s="109">
        <f>_xlfn.COMPOUNDVALUE(579)</f>
        <v>5390</v>
      </c>
      <c r="G30" s="110">
        <v>9507400</v>
      </c>
      <c r="H30" s="109">
        <f>_xlfn.COMPOUNDVALUE(580)</f>
        <v>193</v>
      </c>
      <c r="I30" s="111">
        <v>1871314</v>
      </c>
      <c r="J30" s="109">
        <v>339</v>
      </c>
      <c r="K30" s="111">
        <v>74104</v>
      </c>
      <c r="L30" s="109">
        <v>5690</v>
      </c>
      <c r="M30" s="111">
        <v>7710190</v>
      </c>
      <c r="N30" s="103">
        <v>5696</v>
      </c>
      <c r="O30" s="141">
        <v>135</v>
      </c>
      <c r="P30" s="141">
        <v>12</v>
      </c>
      <c r="Q30" s="142">
        <v>5843</v>
      </c>
      <c r="R30" s="112" t="s">
        <v>83</v>
      </c>
    </row>
    <row r="31" spans="1:18" ht="15.75" customHeight="1">
      <c r="A31" s="108" t="s">
        <v>84</v>
      </c>
      <c r="B31" s="109">
        <f>_xlfn.COMPOUNDVALUE(581)</f>
        <v>1326</v>
      </c>
      <c r="C31" s="110">
        <v>2429288</v>
      </c>
      <c r="D31" s="109">
        <f>_xlfn.COMPOUNDVALUE(582)</f>
        <v>1425</v>
      </c>
      <c r="E31" s="110">
        <v>390089</v>
      </c>
      <c r="F31" s="109">
        <f>_xlfn.COMPOUNDVALUE(583)</f>
        <v>2751</v>
      </c>
      <c r="G31" s="110">
        <v>2819376</v>
      </c>
      <c r="H31" s="109">
        <f>_xlfn.COMPOUNDVALUE(584)</f>
        <v>43</v>
      </c>
      <c r="I31" s="111">
        <v>16359</v>
      </c>
      <c r="J31" s="109">
        <v>171</v>
      </c>
      <c r="K31" s="111">
        <v>21755</v>
      </c>
      <c r="L31" s="109">
        <v>2848</v>
      </c>
      <c r="M31" s="111">
        <v>2824772</v>
      </c>
      <c r="N31" s="103">
        <v>2764</v>
      </c>
      <c r="O31" s="141">
        <v>47</v>
      </c>
      <c r="P31" s="141">
        <v>5</v>
      </c>
      <c r="Q31" s="142">
        <v>2816</v>
      </c>
      <c r="R31" s="112" t="s">
        <v>84</v>
      </c>
    </row>
    <row r="32" spans="1:18" ht="15.75" customHeight="1">
      <c r="A32" s="108" t="s">
        <v>85</v>
      </c>
      <c r="B32" s="109">
        <f>_xlfn.COMPOUNDVALUE(585)</f>
        <v>4918</v>
      </c>
      <c r="C32" s="110">
        <v>16914924</v>
      </c>
      <c r="D32" s="109">
        <f>_xlfn.COMPOUNDVALUE(586)</f>
        <v>4075</v>
      </c>
      <c r="E32" s="110">
        <v>1249872</v>
      </c>
      <c r="F32" s="109">
        <f>_xlfn.COMPOUNDVALUE(587)</f>
        <v>8993</v>
      </c>
      <c r="G32" s="110">
        <v>18164796</v>
      </c>
      <c r="H32" s="109">
        <f>_xlfn.COMPOUNDVALUE(588)</f>
        <v>338</v>
      </c>
      <c r="I32" s="111">
        <v>2488661</v>
      </c>
      <c r="J32" s="109">
        <v>471</v>
      </c>
      <c r="K32" s="111">
        <v>67820</v>
      </c>
      <c r="L32" s="109">
        <v>9461</v>
      </c>
      <c r="M32" s="111">
        <v>15743955</v>
      </c>
      <c r="N32" s="103">
        <v>9645</v>
      </c>
      <c r="O32" s="141">
        <v>230</v>
      </c>
      <c r="P32" s="141">
        <v>10</v>
      </c>
      <c r="Q32" s="142">
        <v>9885</v>
      </c>
      <c r="R32" s="112" t="s">
        <v>85</v>
      </c>
    </row>
    <row r="33" spans="1:18" ht="15.75" customHeight="1">
      <c r="A33" s="108" t="s">
        <v>86</v>
      </c>
      <c r="B33" s="109">
        <f>_xlfn.COMPOUNDVALUE(589)</f>
        <v>835</v>
      </c>
      <c r="C33" s="110">
        <v>1667019</v>
      </c>
      <c r="D33" s="109">
        <f>_xlfn.COMPOUNDVALUE(590)</f>
        <v>671</v>
      </c>
      <c r="E33" s="110">
        <v>189099</v>
      </c>
      <c r="F33" s="109">
        <f>_xlfn.COMPOUNDVALUE(591)</f>
        <v>1506</v>
      </c>
      <c r="G33" s="110">
        <v>1856118</v>
      </c>
      <c r="H33" s="109">
        <f>_xlfn.COMPOUNDVALUE(592)</f>
        <v>53</v>
      </c>
      <c r="I33" s="111">
        <v>35743</v>
      </c>
      <c r="J33" s="109">
        <v>81</v>
      </c>
      <c r="K33" s="111">
        <v>1899</v>
      </c>
      <c r="L33" s="109">
        <v>1597</v>
      </c>
      <c r="M33" s="111">
        <v>1822274</v>
      </c>
      <c r="N33" s="103">
        <v>1543</v>
      </c>
      <c r="O33" s="141">
        <v>29</v>
      </c>
      <c r="P33" s="141">
        <v>3</v>
      </c>
      <c r="Q33" s="142">
        <v>1575</v>
      </c>
      <c r="R33" s="112" t="s">
        <v>86</v>
      </c>
    </row>
    <row r="34" spans="1:18" ht="15.75" customHeight="1">
      <c r="A34" s="108" t="s">
        <v>87</v>
      </c>
      <c r="B34" s="109">
        <f>_xlfn.COMPOUNDVALUE(593)</f>
        <v>1054</v>
      </c>
      <c r="C34" s="110">
        <v>2545170</v>
      </c>
      <c r="D34" s="109">
        <f>_xlfn.COMPOUNDVALUE(594)</f>
        <v>1107</v>
      </c>
      <c r="E34" s="110">
        <v>303436</v>
      </c>
      <c r="F34" s="109">
        <f>_xlfn.COMPOUNDVALUE(595)</f>
        <v>2161</v>
      </c>
      <c r="G34" s="110">
        <v>2848606</v>
      </c>
      <c r="H34" s="109">
        <f>_xlfn.COMPOUNDVALUE(596)</f>
        <v>49</v>
      </c>
      <c r="I34" s="111">
        <v>110848</v>
      </c>
      <c r="J34" s="109">
        <v>143</v>
      </c>
      <c r="K34" s="111">
        <v>14438</v>
      </c>
      <c r="L34" s="109">
        <v>2266</v>
      </c>
      <c r="M34" s="111">
        <v>2752196</v>
      </c>
      <c r="N34" s="103">
        <v>2200</v>
      </c>
      <c r="O34" s="141">
        <v>26</v>
      </c>
      <c r="P34" s="141">
        <v>2</v>
      </c>
      <c r="Q34" s="142">
        <v>2228</v>
      </c>
      <c r="R34" s="112" t="s">
        <v>87</v>
      </c>
    </row>
    <row r="35" spans="1:18" ht="15.75" customHeight="1">
      <c r="A35" s="108" t="s">
        <v>88</v>
      </c>
      <c r="B35" s="109">
        <f>_xlfn.COMPOUNDVALUE(597)</f>
        <v>978</v>
      </c>
      <c r="C35" s="110">
        <v>1790319</v>
      </c>
      <c r="D35" s="109">
        <f>_xlfn.COMPOUNDVALUE(598)</f>
        <v>1097</v>
      </c>
      <c r="E35" s="110">
        <v>278488</v>
      </c>
      <c r="F35" s="109">
        <f>_xlfn.COMPOUNDVALUE(599)</f>
        <v>2075</v>
      </c>
      <c r="G35" s="110">
        <v>2068808</v>
      </c>
      <c r="H35" s="109">
        <f>_xlfn.COMPOUNDVALUE(600)</f>
        <v>59</v>
      </c>
      <c r="I35" s="111">
        <v>30210</v>
      </c>
      <c r="J35" s="109">
        <v>106</v>
      </c>
      <c r="K35" s="111">
        <v>8969</v>
      </c>
      <c r="L35" s="109">
        <v>2172</v>
      </c>
      <c r="M35" s="111">
        <v>2047567</v>
      </c>
      <c r="N35" s="103">
        <v>2084</v>
      </c>
      <c r="O35" s="141">
        <v>51</v>
      </c>
      <c r="P35" s="141">
        <v>2</v>
      </c>
      <c r="Q35" s="142">
        <v>2137</v>
      </c>
      <c r="R35" s="112" t="s">
        <v>88</v>
      </c>
    </row>
    <row r="36" spans="1:18" ht="15.75" customHeight="1">
      <c r="A36" s="113" t="s">
        <v>89</v>
      </c>
      <c r="B36" s="114">
        <v>26062</v>
      </c>
      <c r="C36" s="115">
        <v>88794827</v>
      </c>
      <c r="D36" s="114">
        <v>21675</v>
      </c>
      <c r="E36" s="115">
        <v>6412706</v>
      </c>
      <c r="F36" s="114">
        <v>47737</v>
      </c>
      <c r="G36" s="115">
        <v>95207534</v>
      </c>
      <c r="H36" s="114">
        <v>1524</v>
      </c>
      <c r="I36" s="116">
        <v>8599851</v>
      </c>
      <c r="J36" s="114">
        <v>2907</v>
      </c>
      <c r="K36" s="116">
        <v>357522</v>
      </c>
      <c r="L36" s="114">
        <v>50083</v>
      </c>
      <c r="M36" s="116">
        <v>86965206</v>
      </c>
      <c r="N36" s="114">
        <v>49949</v>
      </c>
      <c r="O36" s="143">
        <v>972</v>
      </c>
      <c r="P36" s="143">
        <v>89</v>
      </c>
      <c r="Q36" s="144">
        <v>51010</v>
      </c>
      <c r="R36" s="117" t="s">
        <v>90</v>
      </c>
    </row>
    <row r="37" spans="1:18" ht="15.75" customHeight="1">
      <c r="A37" s="118"/>
      <c r="B37" s="119"/>
      <c r="C37" s="120"/>
      <c r="D37" s="119"/>
      <c r="E37" s="120"/>
      <c r="F37" s="121"/>
      <c r="G37" s="120"/>
      <c r="H37" s="121"/>
      <c r="I37" s="120"/>
      <c r="J37" s="121"/>
      <c r="K37" s="120"/>
      <c r="L37" s="121"/>
      <c r="M37" s="120"/>
      <c r="N37" s="145"/>
      <c r="O37" s="146"/>
      <c r="P37" s="146"/>
      <c r="Q37" s="147"/>
      <c r="R37" s="148" t="s">
        <v>160</v>
      </c>
    </row>
    <row r="38" spans="1:18" ht="15.75" customHeight="1">
      <c r="A38" s="102" t="s">
        <v>91</v>
      </c>
      <c r="B38" s="103">
        <f>_xlfn.COMPOUNDVALUE(601)</f>
        <v>7990</v>
      </c>
      <c r="C38" s="104">
        <v>23128714</v>
      </c>
      <c r="D38" s="103">
        <f>_xlfn.COMPOUNDVALUE(602)</f>
        <v>7183</v>
      </c>
      <c r="E38" s="104">
        <v>2203014</v>
      </c>
      <c r="F38" s="103">
        <f>_xlfn.COMPOUNDVALUE(603)</f>
        <v>15173</v>
      </c>
      <c r="G38" s="104">
        <v>25331729</v>
      </c>
      <c r="H38" s="103">
        <f>_xlfn.COMPOUNDVALUE(604)</f>
        <v>522</v>
      </c>
      <c r="I38" s="105">
        <v>1547132</v>
      </c>
      <c r="J38" s="103">
        <v>807</v>
      </c>
      <c r="K38" s="105">
        <v>73529</v>
      </c>
      <c r="L38" s="103">
        <v>15939</v>
      </c>
      <c r="M38" s="105">
        <v>23858125</v>
      </c>
      <c r="N38" s="103">
        <v>16478</v>
      </c>
      <c r="O38" s="141">
        <v>298</v>
      </c>
      <c r="P38" s="141">
        <v>35</v>
      </c>
      <c r="Q38" s="142">
        <v>16811</v>
      </c>
      <c r="R38" s="112" t="s">
        <v>91</v>
      </c>
    </row>
    <row r="39" spans="1:18" ht="15.75" customHeight="1">
      <c r="A39" s="102" t="s">
        <v>92</v>
      </c>
      <c r="B39" s="103">
        <f>_xlfn.COMPOUNDVALUE(605)</f>
        <v>4056</v>
      </c>
      <c r="C39" s="104">
        <v>12565003</v>
      </c>
      <c r="D39" s="103">
        <f>_xlfn.COMPOUNDVALUE(606)</f>
        <v>3706</v>
      </c>
      <c r="E39" s="104">
        <v>1053104</v>
      </c>
      <c r="F39" s="103">
        <f>_xlfn.COMPOUNDVALUE(607)</f>
        <v>7762</v>
      </c>
      <c r="G39" s="104">
        <v>13618107</v>
      </c>
      <c r="H39" s="103">
        <f>_xlfn.COMPOUNDVALUE(608)</f>
        <v>218</v>
      </c>
      <c r="I39" s="105">
        <v>346486</v>
      </c>
      <c r="J39" s="103">
        <v>612</v>
      </c>
      <c r="K39" s="105">
        <v>111094</v>
      </c>
      <c r="L39" s="103">
        <v>8179</v>
      </c>
      <c r="M39" s="105">
        <v>13382714</v>
      </c>
      <c r="N39" s="103">
        <v>8126</v>
      </c>
      <c r="O39" s="141">
        <v>161</v>
      </c>
      <c r="P39" s="141">
        <v>22</v>
      </c>
      <c r="Q39" s="142">
        <v>8309</v>
      </c>
      <c r="R39" s="112" t="s">
        <v>92</v>
      </c>
    </row>
    <row r="40" spans="1:18" ht="15.75" customHeight="1">
      <c r="A40" s="102" t="s">
        <v>93</v>
      </c>
      <c r="B40" s="103">
        <f>_xlfn.COMPOUNDVALUE(609)</f>
        <v>8576</v>
      </c>
      <c r="C40" s="104">
        <v>21327693</v>
      </c>
      <c r="D40" s="103">
        <f>_xlfn.COMPOUNDVALUE(610)</f>
        <v>7118</v>
      </c>
      <c r="E40" s="104">
        <v>2287988</v>
      </c>
      <c r="F40" s="103">
        <f>_xlfn.COMPOUNDVALUE(611)</f>
        <v>15694</v>
      </c>
      <c r="G40" s="104">
        <v>23615681</v>
      </c>
      <c r="H40" s="103">
        <f>_xlfn.COMPOUNDVALUE(612)</f>
        <v>472</v>
      </c>
      <c r="I40" s="105">
        <v>780451</v>
      </c>
      <c r="J40" s="103">
        <v>1261</v>
      </c>
      <c r="K40" s="105">
        <v>191999</v>
      </c>
      <c r="L40" s="103">
        <v>16670</v>
      </c>
      <c r="M40" s="105">
        <v>23027229</v>
      </c>
      <c r="N40" s="103">
        <v>16808</v>
      </c>
      <c r="O40" s="141">
        <v>294</v>
      </c>
      <c r="P40" s="141">
        <v>38</v>
      </c>
      <c r="Q40" s="142">
        <v>17140</v>
      </c>
      <c r="R40" s="112" t="s">
        <v>93</v>
      </c>
    </row>
    <row r="41" spans="1:18" ht="15.75" customHeight="1">
      <c r="A41" s="102" t="s">
        <v>94</v>
      </c>
      <c r="B41" s="103">
        <f>_xlfn.COMPOUNDVALUE(613)</f>
        <v>4371</v>
      </c>
      <c r="C41" s="104">
        <v>13075698</v>
      </c>
      <c r="D41" s="103">
        <f>_xlfn.COMPOUNDVALUE(614)</f>
        <v>3648</v>
      </c>
      <c r="E41" s="104">
        <v>1260408</v>
      </c>
      <c r="F41" s="103">
        <f>_xlfn.COMPOUNDVALUE(615)</f>
        <v>8019</v>
      </c>
      <c r="G41" s="104">
        <v>14336106</v>
      </c>
      <c r="H41" s="103">
        <f>_xlfn.COMPOUNDVALUE(616)</f>
        <v>295</v>
      </c>
      <c r="I41" s="105">
        <v>467417</v>
      </c>
      <c r="J41" s="103">
        <v>660</v>
      </c>
      <c r="K41" s="105">
        <v>96859</v>
      </c>
      <c r="L41" s="103">
        <v>8521</v>
      </c>
      <c r="M41" s="105">
        <v>13965547</v>
      </c>
      <c r="N41" s="103">
        <v>8799</v>
      </c>
      <c r="O41" s="141">
        <v>173</v>
      </c>
      <c r="P41" s="141">
        <v>21</v>
      </c>
      <c r="Q41" s="142">
        <v>8993</v>
      </c>
      <c r="R41" s="112" t="s">
        <v>94</v>
      </c>
    </row>
    <row r="42" spans="1:18" ht="15.75" customHeight="1">
      <c r="A42" s="102" t="s">
        <v>95</v>
      </c>
      <c r="B42" s="103">
        <f>_xlfn.COMPOUNDVALUE(617)</f>
        <v>6160</v>
      </c>
      <c r="C42" s="104">
        <v>29549289</v>
      </c>
      <c r="D42" s="103">
        <f>_xlfn.COMPOUNDVALUE(618)</f>
        <v>5201</v>
      </c>
      <c r="E42" s="104">
        <v>1795019</v>
      </c>
      <c r="F42" s="103">
        <f>_xlfn.COMPOUNDVALUE(619)</f>
        <v>11361</v>
      </c>
      <c r="G42" s="104">
        <v>31344308</v>
      </c>
      <c r="H42" s="103">
        <f>_xlfn.COMPOUNDVALUE(620)</f>
        <v>431</v>
      </c>
      <c r="I42" s="105">
        <v>1328744</v>
      </c>
      <c r="J42" s="103">
        <v>863</v>
      </c>
      <c r="K42" s="105">
        <v>133644</v>
      </c>
      <c r="L42" s="103">
        <v>12061</v>
      </c>
      <c r="M42" s="105">
        <v>30149208</v>
      </c>
      <c r="N42" s="103">
        <v>12023</v>
      </c>
      <c r="O42" s="141">
        <v>299</v>
      </c>
      <c r="P42" s="141">
        <v>44</v>
      </c>
      <c r="Q42" s="142">
        <v>12366</v>
      </c>
      <c r="R42" s="112" t="s">
        <v>95</v>
      </c>
    </row>
    <row r="43" spans="1:18" ht="15.75" customHeight="1">
      <c r="A43" s="102" t="s">
        <v>96</v>
      </c>
      <c r="B43" s="103">
        <f>_xlfn.COMPOUNDVALUE(621)</f>
        <v>5420</v>
      </c>
      <c r="C43" s="104">
        <v>29138812</v>
      </c>
      <c r="D43" s="103">
        <f>_xlfn.COMPOUNDVALUE(622)</f>
        <v>4186</v>
      </c>
      <c r="E43" s="104">
        <v>1423404</v>
      </c>
      <c r="F43" s="103">
        <f>_xlfn.COMPOUNDVALUE(623)</f>
        <v>9606</v>
      </c>
      <c r="G43" s="104">
        <v>30562216</v>
      </c>
      <c r="H43" s="103">
        <f>_xlfn.COMPOUNDVALUE(624)</f>
        <v>384</v>
      </c>
      <c r="I43" s="105">
        <v>1293638</v>
      </c>
      <c r="J43" s="103">
        <v>614</v>
      </c>
      <c r="K43" s="105">
        <v>56589</v>
      </c>
      <c r="L43" s="103">
        <v>10131</v>
      </c>
      <c r="M43" s="105">
        <v>29325167</v>
      </c>
      <c r="N43" s="103">
        <v>9967</v>
      </c>
      <c r="O43" s="141">
        <v>241</v>
      </c>
      <c r="P43" s="141">
        <v>53</v>
      </c>
      <c r="Q43" s="142">
        <v>10261</v>
      </c>
      <c r="R43" s="112" t="s">
        <v>96</v>
      </c>
    </row>
    <row r="44" spans="1:18" ht="15.75" customHeight="1">
      <c r="A44" s="102" t="s">
        <v>97</v>
      </c>
      <c r="B44" s="103">
        <f>_xlfn.COMPOUNDVALUE(625)</f>
        <v>2593</v>
      </c>
      <c r="C44" s="104">
        <v>7314919</v>
      </c>
      <c r="D44" s="103">
        <f>_xlfn.COMPOUNDVALUE(626)</f>
        <v>2219</v>
      </c>
      <c r="E44" s="104">
        <v>650864</v>
      </c>
      <c r="F44" s="103">
        <f>_xlfn.COMPOUNDVALUE(627)</f>
        <v>4812</v>
      </c>
      <c r="G44" s="104">
        <v>7965784</v>
      </c>
      <c r="H44" s="103">
        <f>_xlfn.COMPOUNDVALUE(628)</f>
        <v>186</v>
      </c>
      <c r="I44" s="105">
        <v>694756</v>
      </c>
      <c r="J44" s="103">
        <v>232</v>
      </c>
      <c r="K44" s="105">
        <v>24637</v>
      </c>
      <c r="L44" s="103">
        <v>5084</v>
      </c>
      <c r="M44" s="105">
        <v>7295665</v>
      </c>
      <c r="N44" s="103">
        <v>5042</v>
      </c>
      <c r="O44" s="141">
        <v>113</v>
      </c>
      <c r="P44" s="141">
        <v>4</v>
      </c>
      <c r="Q44" s="142">
        <v>5159</v>
      </c>
      <c r="R44" s="112" t="s">
        <v>97</v>
      </c>
    </row>
    <row r="45" spans="1:18" ht="15.75" customHeight="1">
      <c r="A45" s="102" t="s">
        <v>98</v>
      </c>
      <c r="B45" s="103">
        <f>_xlfn.COMPOUNDVALUE(629)</f>
        <v>1280</v>
      </c>
      <c r="C45" s="104">
        <v>3531848</v>
      </c>
      <c r="D45" s="103">
        <f>_xlfn.COMPOUNDVALUE(630)</f>
        <v>1175</v>
      </c>
      <c r="E45" s="104">
        <v>331066</v>
      </c>
      <c r="F45" s="103">
        <f>_xlfn.COMPOUNDVALUE(631)</f>
        <v>2455</v>
      </c>
      <c r="G45" s="104">
        <v>3862914</v>
      </c>
      <c r="H45" s="103">
        <f>_xlfn.COMPOUNDVALUE(632)</f>
        <v>52</v>
      </c>
      <c r="I45" s="105">
        <v>42866</v>
      </c>
      <c r="J45" s="103">
        <v>112</v>
      </c>
      <c r="K45" s="105">
        <v>8977</v>
      </c>
      <c r="L45" s="103">
        <v>2530</v>
      </c>
      <c r="M45" s="105">
        <v>3829025</v>
      </c>
      <c r="N45" s="103">
        <v>2502</v>
      </c>
      <c r="O45" s="141">
        <v>33</v>
      </c>
      <c r="P45" s="141">
        <v>4</v>
      </c>
      <c r="Q45" s="142">
        <v>2539</v>
      </c>
      <c r="R45" s="112" t="s">
        <v>98</v>
      </c>
    </row>
    <row r="46" spans="1:18" ht="15.75" customHeight="1">
      <c r="A46" s="108" t="s">
        <v>99</v>
      </c>
      <c r="B46" s="109">
        <f>_xlfn.COMPOUNDVALUE(633)</f>
        <v>6398</v>
      </c>
      <c r="C46" s="110">
        <v>16884286</v>
      </c>
      <c r="D46" s="109">
        <f>_xlfn.COMPOUNDVALUE(634)</f>
        <v>6130</v>
      </c>
      <c r="E46" s="110">
        <v>1871612</v>
      </c>
      <c r="F46" s="109">
        <f>_xlfn.COMPOUNDVALUE(635)</f>
        <v>12528</v>
      </c>
      <c r="G46" s="110">
        <v>18755897</v>
      </c>
      <c r="H46" s="109">
        <f>_xlfn.COMPOUNDVALUE(636)</f>
        <v>421</v>
      </c>
      <c r="I46" s="111">
        <v>1329598</v>
      </c>
      <c r="J46" s="109">
        <v>892</v>
      </c>
      <c r="K46" s="111">
        <v>92761</v>
      </c>
      <c r="L46" s="109">
        <v>13253</v>
      </c>
      <c r="M46" s="111">
        <v>17519060</v>
      </c>
      <c r="N46" s="103">
        <v>13849</v>
      </c>
      <c r="O46" s="141">
        <v>261</v>
      </c>
      <c r="P46" s="141">
        <v>23</v>
      </c>
      <c r="Q46" s="142">
        <v>14133</v>
      </c>
      <c r="R46" s="112" t="s">
        <v>99</v>
      </c>
    </row>
    <row r="47" spans="1:18" ht="15.75" customHeight="1">
      <c r="A47" s="108" t="s">
        <v>100</v>
      </c>
      <c r="B47" s="109">
        <f>_xlfn.COMPOUNDVALUE(637)</f>
        <v>1452</v>
      </c>
      <c r="C47" s="110">
        <v>5858116</v>
      </c>
      <c r="D47" s="109">
        <f>_xlfn.COMPOUNDVALUE(638)</f>
        <v>1345</v>
      </c>
      <c r="E47" s="110">
        <v>364625</v>
      </c>
      <c r="F47" s="109">
        <f>_xlfn.COMPOUNDVALUE(639)</f>
        <v>2797</v>
      </c>
      <c r="G47" s="110">
        <v>6222741</v>
      </c>
      <c r="H47" s="109">
        <f>_xlfn.COMPOUNDVALUE(640)</f>
        <v>84</v>
      </c>
      <c r="I47" s="111">
        <v>148751</v>
      </c>
      <c r="J47" s="109">
        <v>217</v>
      </c>
      <c r="K47" s="111">
        <v>24585</v>
      </c>
      <c r="L47" s="109">
        <v>2947</v>
      </c>
      <c r="M47" s="111">
        <v>6098574</v>
      </c>
      <c r="N47" s="103">
        <v>2910</v>
      </c>
      <c r="O47" s="141">
        <v>62</v>
      </c>
      <c r="P47" s="141">
        <v>6</v>
      </c>
      <c r="Q47" s="142">
        <v>2978</v>
      </c>
      <c r="R47" s="112" t="s">
        <v>100</v>
      </c>
    </row>
    <row r="48" spans="1:18" ht="15.75" customHeight="1">
      <c r="A48" s="108" t="s">
        <v>101</v>
      </c>
      <c r="B48" s="109">
        <f>_xlfn.COMPOUNDVALUE(641)</f>
        <v>2258</v>
      </c>
      <c r="C48" s="110">
        <v>6613203</v>
      </c>
      <c r="D48" s="109">
        <f>_xlfn.COMPOUNDVALUE(642)</f>
        <v>1943</v>
      </c>
      <c r="E48" s="110">
        <v>571638</v>
      </c>
      <c r="F48" s="109">
        <f>_xlfn.COMPOUNDVALUE(643)</f>
        <v>4201</v>
      </c>
      <c r="G48" s="110">
        <v>7184841</v>
      </c>
      <c r="H48" s="109">
        <f>_xlfn.COMPOUNDVALUE(644)</f>
        <v>144</v>
      </c>
      <c r="I48" s="111">
        <v>456504</v>
      </c>
      <c r="J48" s="109">
        <v>313</v>
      </c>
      <c r="K48" s="111">
        <v>3845</v>
      </c>
      <c r="L48" s="109">
        <v>4462</v>
      </c>
      <c r="M48" s="111">
        <v>6732181</v>
      </c>
      <c r="N48" s="103">
        <v>4397</v>
      </c>
      <c r="O48" s="141">
        <v>101</v>
      </c>
      <c r="P48" s="141">
        <v>13</v>
      </c>
      <c r="Q48" s="142">
        <v>4511</v>
      </c>
      <c r="R48" s="112" t="s">
        <v>101</v>
      </c>
    </row>
    <row r="49" spans="1:18" ht="15.75" customHeight="1">
      <c r="A49" s="108" t="s">
        <v>102</v>
      </c>
      <c r="B49" s="109">
        <f>_xlfn.COMPOUNDVALUE(645)</f>
        <v>6800</v>
      </c>
      <c r="C49" s="110">
        <v>15319879</v>
      </c>
      <c r="D49" s="109">
        <f>_xlfn.COMPOUNDVALUE(646)</f>
        <v>6007</v>
      </c>
      <c r="E49" s="110">
        <v>1785295</v>
      </c>
      <c r="F49" s="109">
        <f>_xlfn.COMPOUNDVALUE(647)</f>
        <v>12807</v>
      </c>
      <c r="G49" s="110">
        <v>17105175</v>
      </c>
      <c r="H49" s="109">
        <f>_xlfn.COMPOUNDVALUE(648)</f>
        <v>578</v>
      </c>
      <c r="I49" s="111">
        <v>1993647</v>
      </c>
      <c r="J49" s="109">
        <v>1149</v>
      </c>
      <c r="K49" s="111">
        <v>109534</v>
      </c>
      <c r="L49" s="109">
        <v>13814</v>
      </c>
      <c r="M49" s="111">
        <v>15221062</v>
      </c>
      <c r="N49" s="103">
        <v>13426</v>
      </c>
      <c r="O49" s="141">
        <v>333</v>
      </c>
      <c r="P49" s="141">
        <v>30</v>
      </c>
      <c r="Q49" s="142">
        <v>13789</v>
      </c>
      <c r="R49" s="112" t="s">
        <v>102</v>
      </c>
    </row>
    <row r="50" spans="1:18" ht="15.75" customHeight="1">
      <c r="A50" s="108" t="s">
        <v>103</v>
      </c>
      <c r="B50" s="109">
        <f>_xlfn.COMPOUNDVALUE(649)</f>
        <v>4361</v>
      </c>
      <c r="C50" s="110">
        <v>16461992</v>
      </c>
      <c r="D50" s="109">
        <f>_xlfn.COMPOUNDVALUE(650)</f>
        <v>3888</v>
      </c>
      <c r="E50" s="110">
        <v>1274641</v>
      </c>
      <c r="F50" s="109">
        <f>_xlfn.COMPOUNDVALUE(651)</f>
        <v>8249</v>
      </c>
      <c r="G50" s="110">
        <v>17736633</v>
      </c>
      <c r="H50" s="109">
        <f>_xlfn.COMPOUNDVALUE(652)</f>
        <v>231</v>
      </c>
      <c r="I50" s="111">
        <v>1062524</v>
      </c>
      <c r="J50" s="109">
        <v>520</v>
      </c>
      <c r="K50" s="111">
        <v>75620</v>
      </c>
      <c r="L50" s="109">
        <v>8640</v>
      </c>
      <c r="M50" s="111">
        <v>16749729</v>
      </c>
      <c r="N50" s="103">
        <v>8621</v>
      </c>
      <c r="O50" s="141">
        <v>169</v>
      </c>
      <c r="P50" s="141">
        <v>9</v>
      </c>
      <c r="Q50" s="142">
        <v>8799</v>
      </c>
      <c r="R50" s="112" t="s">
        <v>103</v>
      </c>
    </row>
    <row r="51" spans="1:18" ht="15.75" customHeight="1">
      <c r="A51" s="108" t="s">
        <v>104</v>
      </c>
      <c r="B51" s="109">
        <f>_xlfn.COMPOUNDVALUE(653)</f>
        <v>7743</v>
      </c>
      <c r="C51" s="110">
        <v>19542967</v>
      </c>
      <c r="D51" s="109">
        <f>_xlfn.COMPOUNDVALUE(654)</f>
        <v>6302</v>
      </c>
      <c r="E51" s="110">
        <v>2009834</v>
      </c>
      <c r="F51" s="109">
        <f>_xlfn.COMPOUNDVALUE(655)</f>
        <v>14045</v>
      </c>
      <c r="G51" s="110">
        <v>21552801</v>
      </c>
      <c r="H51" s="109">
        <f>_xlfn.COMPOUNDVALUE(656)</f>
        <v>460</v>
      </c>
      <c r="I51" s="111">
        <v>1200342</v>
      </c>
      <c r="J51" s="109">
        <v>911</v>
      </c>
      <c r="K51" s="111">
        <v>110053</v>
      </c>
      <c r="L51" s="109">
        <v>14746</v>
      </c>
      <c r="M51" s="111">
        <v>20462512</v>
      </c>
      <c r="N51" s="103">
        <v>15097</v>
      </c>
      <c r="O51" s="141">
        <v>309</v>
      </c>
      <c r="P51" s="141">
        <v>41</v>
      </c>
      <c r="Q51" s="142">
        <v>15447</v>
      </c>
      <c r="R51" s="112" t="s">
        <v>104</v>
      </c>
    </row>
    <row r="52" spans="1:18" ht="15.75" customHeight="1">
      <c r="A52" s="108" t="s">
        <v>105</v>
      </c>
      <c r="B52" s="109">
        <f>_xlfn.COMPOUNDVALUE(657)</f>
        <v>4432</v>
      </c>
      <c r="C52" s="110">
        <v>21283688</v>
      </c>
      <c r="D52" s="109">
        <f>_xlfn.COMPOUNDVALUE(658)</f>
        <v>4032</v>
      </c>
      <c r="E52" s="110">
        <v>1305236</v>
      </c>
      <c r="F52" s="109">
        <f>_xlfn.COMPOUNDVALUE(659)</f>
        <v>8464</v>
      </c>
      <c r="G52" s="110">
        <v>22588924</v>
      </c>
      <c r="H52" s="109">
        <f>_xlfn.COMPOUNDVALUE(660)</f>
        <v>322</v>
      </c>
      <c r="I52" s="111">
        <v>1680195</v>
      </c>
      <c r="J52" s="109">
        <v>714</v>
      </c>
      <c r="K52" s="111">
        <v>87636</v>
      </c>
      <c r="L52" s="109">
        <v>8986</v>
      </c>
      <c r="M52" s="111">
        <v>20996366</v>
      </c>
      <c r="N52" s="103">
        <v>9241</v>
      </c>
      <c r="O52" s="141">
        <v>219</v>
      </c>
      <c r="P52" s="141">
        <v>19</v>
      </c>
      <c r="Q52" s="142">
        <v>9479</v>
      </c>
      <c r="R52" s="112" t="s">
        <v>105</v>
      </c>
    </row>
    <row r="53" spans="1:18" ht="15.75" customHeight="1">
      <c r="A53" s="113" t="s">
        <v>106</v>
      </c>
      <c r="B53" s="114">
        <v>73890</v>
      </c>
      <c r="C53" s="115">
        <v>241596106</v>
      </c>
      <c r="D53" s="114">
        <v>64083</v>
      </c>
      <c r="E53" s="115">
        <v>20187749</v>
      </c>
      <c r="F53" s="114">
        <v>137973</v>
      </c>
      <c r="G53" s="115">
        <v>261783855</v>
      </c>
      <c r="H53" s="114">
        <v>4800</v>
      </c>
      <c r="I53" s="116">
        <v>14373052</v>
      </c>
      <c r="J53" s="114">
        <v>9877</v>
      </c>
      <c r="K53" s="116">
        <v>1201361</v>
      </c>
      <c r="L53" s="114">
        <v>145963</v>
      </c>
      <c r="M53" s="116">
        <v>248612164</v>
      </c>
      <c r="N53" s="114">
        <v>147286</v>
      </c>
      <c r="O53" s="143">
        <v>3066</v>
      </c>
      <c r="P53" s="143">
        <v>362</v>
      </c>
      <c r="Q53" s="144">
        <v>150714</v>
      </c>
      <c r="R53" s="117" t="s">
        <v>107</v>
      </c>
    </row>
    <row r="54" spans="1:18" ht="15.75" customHeight="1">
      <c r="A54" s="118"/>
      <c r="B54" s="119"/>
      <c r="C54" s="120"/>
      <c r="D54" s="119"/>
      <c r="E54" s="120"/>
      <c r="F54" s="121"/>
      <c r="G54" s="120"/>
      <c r="H54" s="121"/>
      <c r="I54" s="120"/>
      <c r="J54" s="121"/>
      <c r="K54" s="120"/>
      <c r="L54" s="121"/>
      <c r="M54" s="120"/>
      <c r="N54" s="145"/>
      <c r="O54" s="146"/>
      <c r="P54" s="146"/>
      <c r="Q54" s="147"/>
      <c r="R54" s="148" t="s">
        <v>160</v>
      </c>
    </row>
    <row r="55" spans="1:18" ht="15.75" customHeight="1">
      <c r="A55" s="102" t="s">
        <v>108</v>
      </c>
      <c r="B55" s="103">
        <f>_xlfn.COMPOUNDVALUE(661)</f>
        <v>8320</v>
      </c>
      <c r="C55" s="104">
        <v>41347730</v>
      </c>
      <c r="D55" s="103">
        <f>_xlfn.COMPOUNDVALUE(662)</f>
        <v>6126</v>
      </c>
      <c r="E55" s="104">
        <v>1888428</v>
      </c>
      <c r="F55" s="103">
        <f>_xlfn.COMPOUNDVALUE(663)</f>
        <v>14446</v>
      </c>
      <c r="G55" s="104">
        <v>43236158</v>
      </c>
      <c r="H55" s="103">
        <f>_xlfn.COMPOUNDVALUE(664)</f>
        <v>500</v>
      </c>
      <c r="I55" s="105">
        <v>1355029</v>
      </c>
      <c r="J55" s="103">
        <v>1116</v>
      </c>
      <c r="K55" s="105">
        <v>130935</v>
      </c>
      <c r="L55" s="103">
        <v>15204</v>
      </c>
      <c r="M55" s="105">
        <v>42012064</v>
      </c>
      <c r="N55" s="103">
        <v>15195</v>
      </c>
      <c r="O55" s="141">
        <v>365</v>
      </c>
      <c r="P55" s="141">
        <v>37</v>
      </c>
      <c r="Q55" s="142">
        <v>15597</v>
      </c>
      <c r="R55" s="112" t="s">
        <v>108</v>
      </c>
    </row>
    <row r="56" spans="1:18" ht="15.75" customHeight="1">
      <c r="A56" s="102" t="s">
        <v>109</v>
      </c>
      <c r="B56" s="103">
        <f>_xlfn.COMPOUNDVALUE(665)</f>
        <v>1418</v>
      </c>
      <c r="C56" s="104">
        <v>3082307</v>
      </c>
      <c r="D56" s="103">
        <f>_xlfn.COMPOUNDVALUE(666)</f>
        <v>1165</v>
      </c>
      <c r="E56" s="104">
        <v>334445</v>
      </c>
      <c r="F56" s="103">
        <f>_xlfn.COMPOUNDVALUE(667)</f>
        <v>2583</v>
      </c>
      <c r="G56" s="104">
        <v>3416751</v>
      </c>
      <c r="H56" s="103">
        <f>_xlfn.COMPOUNDVALUE(668)</f>
        <v>54</v>
      </c>
      <c r="I56" s="105">
        <v>59150</v>
      </c>
      <c r="J56" s="103">
        <v>188</v>
      </c>
      <c r="K56" s="105">
        <v>13782</v>
      </c>
      <c r="L56" s="103">
        <v>2676</v>
      </c>
      <c r="M56" s="105">
        <v>3371383</v>
      </c>
      <c r="N56" s="103">
        <v>2674</v>
      </c>
      <c r="O56" s="141">
        <v>17</v>
      </c>
      <c r="P56" s="141">
        <v>2</v>
      </c>
      <c r="Q56" s="142">
        <v>2693</v>
      </c>
      <c r="R56" s="112" t="s">
        <v>109</v>
      </c>
    </row>
    <row r="57" spans="1:18" ht="15.75" customHeight="1">
      <c r="A57" s="102" t="s">
        <v>110</v>
      </c>
      <c r="B57" s="103">
        <f>_xlfn.COMPOUNDVALUE(669)</f>
        <v>2435</v>
      </c>
      <c r="C57" s="104">
        <v>6672682</v>
      </c>
      <c r="D57" s="103">
        <f>_xlfn.COMPOUNDVALUE(670)</f>
        <v>1796</v>
      </c>
      <c r="E57" s="104">
        <v>505374</v>
      </c>
      <c r="F57" s="103">
        <f>_xlfn.COMPOUNDVALUE(671)</f>
        <v>4231</v>
      </c>
      <c r="G57" s="104">
        <v>7178057</v>
      </c>
      <c r="H57" s="103">
        <f>_xlfn.COMPOUNDVALUE(672)</f>
        <v>119</v>
      </c>
      <c r="I57" s="105">
        <v>318942</v>
      </c>
      <c r="J57" s="103">
        <v>199</v>
      </c>
      <c r="K57" s="105">
        <v>-4494</v>
      </c>
      <c r="L57" s="103">
        <v>4383</v>
      </c>
      <c r="M57" s="105">
        <v>6854620</v>
      </c>
      <c r="N57" s="103">
        <v>4321</v>
      </c>
      <c r="O57" s="141">
        <v>77</v>
      </c>
      <c r="P57" s="141">
        <v>16</v>
      </c>
      <c r="Q57" s="142">
        <v>4414</v>
      </c>
      <c r="R57" s="112" t="s">
        <v>110</v>
      </c>
    </row>
    <row r="58" spans="1:18" ht="15.75" customHeight="1">
      <c r="A58" s="102" t="s">
        <v>111</v>
      </c>
      <c r="B58" s="103">
        <f>_xlfn.COMPOUNDVALUE(673)</f>
        <v>3689</v>
      </c>
      <c r="C58" s="104">
        <v>13539881</v>
      </c>
      <c r="D58" s="103">
        <f>_xlfn.COMPOUNDVALUE(674)</f>
        <v>2701</v>
      </c>
      <c r="E58" s="104">
        <v>819478</v>
      </c>
      <c r="F58" s="103">
        <f>_xlfn.COMPOUNDVALUE(675)</f>
        <v>6390</v>
      </c>
      <c r="G58" s="104">
        <v>14359358</v>
      </c>
      <c r="H58" s="103">
        <f>_xlfn.COMPOUNDVALUE(676)</f>
        <v>152</v>
      </c>
      <c r="I58" s="105">
        <v>1187268</v>
      </c>
      <c r="J58" s="103">
        <v>418</v>
      </c>
      <c r="K58" s="105">
        <v>24580</v>
      </c>
      <c r="L58" s="103">
        <v>6632</v>
      </c>
      <c r="M58" s="105">
        <v>13196671</v>
      </c>
      <c r="N58" s="103">
        <v>6528</v>
      </c>
      <c r="O58" s="141">
        <v>88</v>
      </c>
      <c r="P58" s="141">
        <v>15</v>
      </c>
      <c r="Q58" s="142">
        <v>6631</v>
      </c>
      <c r="R58" s="112" t="s">
        <v>111</v>
      </c>
    </row>
    <row r="59" spans="1:18" ht="15.75" customHeight="1">
      <c r="A59" s="102" t="s">
        <v>112</v>
      </c>
      <c r="B59" s="103">
        <f>_xlfn.COMPOUNDVALUE(677)</f>
        <v>2798</v>
      </c>
      <c r="C59" s="104">
        <v>10479128</v>
      </c>
      <c r="D59" s="103">
        <f>_xlfn.COMPOUNDVALUE(678)</f>
        <v>1997</v>
      </c>
      <c r="E59" s="104">
        <v>565304</v>
      </c>
      <c r="F59" s="103">
        <f>_xlfn.COMPOUNDVALUE(679)</f>
        <v>4795</v>
      </c>
      <c r="G59" s="104">
        <v>11044431</v>
      </c>
      <c r="H59" s="103">
        <f>_xlfn.COMPOUNDVALUE(680)</f>
        <v>116</v>
      </c>
      <c r="I59" s="105">
        <v>495860</v>
      </c>
      <c r="J59" s="103">
        <v>198</v>
      </c>
      <c r="K59" s="105">
        <v>-7053</v>
      </c>
      <c r="L59" s="103">
        <v>4946</v>
      </c>
      <c r="M59" s="105">
        <v>10541518</v>
      </c>
      <c r="N59" s="103">
        <v>4879</v>
      </c>
      <c r="O59" s="141">
        <v>68</v>
      </c>
      <c r="P59" s="141">
        <v>10</v>
      </c>
      <c r="Q59" s="142">
        <v>4957</v>
      </c>
      <c r="R59" s="112" t="s">
        <v>112</v>
      </c>
    </row>
    <row r="60" spans="1:18" ht="15.75" customHeight="1">
      <c r="A60" s="102" t="s">
        <v>113</v>
      </c>
      <c r="B60" s="103">
        <f>_xlfn.COMPOUNDVALUE(681)</f>
        <v>1107</v>
      </c>
      <c r="C60" s="104">
        <v>4233854</v>
      </c>
      <c r="D60" s="103">
        <f>_xlfn.COMPOUNDVALUE(682)</f>
        <v>870</v>
      </c>
      <c r="E60" s="104">
        <v>256152</v>
      </c>
      <c r="F60" s="103">
        <f>_xlfn.COMPOUNDVALUE(683)</f>
        <v>1977</v>
      </c>
      <c r="G60" s="104">
        <v>4490006</v>
      </c>
      <c r="H60" s="103">
        <f>_xlfn.COMPOUNDVALUE(684)</f>
        <v>36</v>
      </c>
      <c r="I60" s="105">
        <v>45876</v>
      </c>
      <c r="J60" s="103">
        <v>140</v>
      </c>
      <c r="K60" s="105">
        <v>-2390</v>
      </c>
      <c r="L60" s="103">
        <v>2053</v>
      </c>
      <c r="M60" s="105">
        <v>4441740</v>
      </c>
      <c r="N60" s="103">
        <v>1905</v>
      </c>
      <c r="O60" s="141">
        <v>41</v>
      </c>
      <c r="P60" s="141">
        <v>3</v>
      </c>
      <c r="Q60" s="142">
        <v>1949</v>
      </c>
      <c r="R60" s="112" t="s">
        <v>113</v>
      </c>
    </row>
    <row r="61" spans="1:18" ht="15.75" customHeight="1">
      <c r="A61" s="108" t="s">
        <v>114</v>
      </c>
      <c r="B61" s="109">
        <f>_xlfn.COMPOUNDVALUE(685)</f>
        <v>2034</v>
      </c>
      <c r="C61" s="110">
        <v>5893705</v>
      </c>
      <c r="D61" s="109">
        <f>_xlfn.COMPOUNDVALUE(686)</f>
        <v>1912</v>
      </c>
      <c r="E61" s="110">
        <v>552230</v>
      </c>
      <c r="F61" s="109">
        <f>_xlfn.COMPOUNDVALUE(687)</f>
        <v>3946</v>
      </c>
      <c r="G61" s="110">
        <v>6445935</v>
      </c>
      <c r="H61" s="109">
        <f>_xlfn.COMPOUNDVALUE(688)</f>
        <v>162</v>
      </c>
      <c r="I61" s="111">
        <v>398171</v>
      </c>
      <c r="J61" s="109">
        <v>318</v>
      </c>
      <c r="K61" s="111">
        <v>28672</v>
      </c>
      <c r="L61" s="109">
        <v>4185</v>
      </c>
      <c r="M61" s="111">
        <v>6076435</v>
      </c>
      <c r="N61" s="103">
        <v>4131</v>
      </c>
      <c r="O61" s="141">
        <v>81</v>
      </c>
      <c r="P61" s="141">
        <v>9</v>
      </c>
      <c r="Q61" s="142">
        <v>4221</v>
      </c>
      <c r="R61" s="112" t="s">
        <v>114</v>
      </c>
    </row>
    <row r="62" spans="1:18" ht="15.75" customHeight="1">
      <c r="A62" s="108" t="s">
        <v>115</v>
      </c>
      <c r="B62" s="109">
        <f>_xlfn.COMPOUNDVALUE(689)</f>
        <v>2237</v>
      </c>
      <c r="C62" s="110">
        <v>5614718</v>
      </c>
      <c r="D62" s="109">
        <f>_xlfn.COMPOUNDVALUE(690)</f>
        <v>1856</v>
      </c>
      <c r="E62" s="110">
        <v>557878</v>
      </c>
      <c r="F62" s="109">
        <f>_xlfn.COMPOUNDVALUE(691)</f>
        <v>4093</v>
      </c>
      <c r="G62" s="110">
        <v>6172596</v>
      </c>
      <c r="H62" s="109">
        <f>_xlfn.COMPOUNDVALUE(692)</f>
        <v>99</v>
      </c>
      <c r="I62" s="111">
        <v>221287</v>
      </c>
      <c r="J62" s="109">
        <v>207</v>
      </c>
      <c r="K62" s="111">
        <v>16432</v>
      </c>
      <c r="L62" s="109">
        <v>4236</v>
      </c>
      <c r="M62" s="111">
        <v>5967740</v>
      </c>
      <c r="N62" s="103">
        <v>4201</v>
      </c>
      <c r="O62" s="141">
        <v>67</v>
      </c>
      <c r="P62" s="141">
        <v>11</v>
      </c>
      <c r="Q62" s="142">
        <v>4279</v>
      </c>
      <c r="R62" s="112" t="s">
        <v>115</v>
      </c>
    </row>
    <row r="63" spans="1:18" ht="15.75" customHeight="1">
      <c r="A63" s="108" t="s">
        <v>116</v>
      </c>
      <c r="B63" s="109">
        <f>_xlfn.COMPOUNDVALUE(693)</f>
        <v>986</v>
      </c>
      <c r="C63" s="110">
        <v>2351905</v>
      </c>
      <c r="D63" s="109">
        <f>_xlfn.COMPOUNDVALUE(694)</f>
        <v>838</v>
      </c>
      <c r="E63" s="110">
        <v>246717</v>
      </c>
      <c r="F63" s="109">
        <f>_xlfn.COMPOUNDVALUE(695)</f>
        <v>1824</v>
      </c>
      <c r="G63" s="110">
        <v>2598622</v>
      </c>
      <c r="H63" s="109">
        <f>_xlfn.COMPOUNDVALUE(696)</f>
        <v>25</v>
      </c>
      <c r="I63" s="111">
        <v>18052</v>
      </c>
      <c r="J63" s="109">
        <v>131</v>
      </c>
      <c r="K63" s="111">
        <v>7905</v>
      </c>
      <c r="L63" s="109">
        <v>1883</v>
      </c>
      <c r="M63" s="111">
        <v>2588474</v>
      </c>
      <c r="N63" s="103">
        <v>1873</v>
      </c>
      <c r="O63" s="141">
        <v>40</v>
      </c>
      <c r="P63" s="141">
        <v>0</v>
      </c>
      <c r="Q63" s="142">
        <v>1913</v>
      </c>
      <c r="R63" s="112" t="s">
        <v>116</v>
      </c>
    </row>
    <row r="64" spans="1:18" ht="15.75" customHeight="1">
      <c r="A64" s="108" t="s">
        <v>117</v>
      </c>
      <c r="B64" s="109">
        <f>_xlfn.COMPOUNDVALUE(697)</f>
        <v>864</v>
      </c>
      <c r="C64" s="110">
        <v>1705193</v>
      </c>
      <c r="D64" s="109">
        <f>_xlfn.COMPOUNDVALUE(698)</f>
        <v>736</v>
      </c>
      <c r="E64" s="110">
        <v>207614</v>
      </c>
      <c r="F64" s="109">
        <f>_xlfn.COMPOUNDVALUE(699)</f>
        <v>1600</v>
      </c>
      <c r="G64" s="110">
        <v>1912807</v>
      </c>
      <c r="H64" s="109">
        <f>_xlfn.COMPOUNDVALUE(700)</f>
        <v>36</v>
      </c>
      <c r="I64" s="111">
        <v>14087</v>
      </c>
      <c r="J64" s="109">
        <v>91</v>
      </c>
      <c r="K64" s="111">
        <v>7250</v>
      </c>
      <c r="L64" s="109">
        <v>1663</v>
      </c>
      <c r="M64" s="111">
        <v>1905970</v>
      </c>
      <c r="N64" s="103">
        <v>1630</v>
      </c>
      <c r="O64" s="141">
        <v>37</v>
      </c>
      <c r="P64" s="141">
        <v>1</v>
      </c>
      <c r="Q64" s="142">
        <v>1668</v>
      </c>
      <c r="R64" s="112" t="s">
        <v>117</v>
      </c>
    </row>
    <row r="65" spans="1:18" ht="15.75" customHeight="1">
      <c r="A65" s="108" t="s">
        <v>118</v>
      </c>
      <c r="B65" s="109">
        <f>_xlfn.COMPOUNDVALUE(701)</f>
        <v>582</v>
      </c>
      <c r="C65" s="110">
        <v>1570020</v>
      </c>
      <c r="D65" s="109">
        <f>_xlfn.COMPOUNDVALUE(702)</f>
        <v>491</v>
      </c>
      <c r="E65" s="110">
        <v>137457</v>
      </c>
      <c r="F65" s="109">
        <f>_xlfn.COMPOUNDVALUE(703)</f>
        <v>1073</v>
      </c>
      <c r="G65" s="110">
        <v>1707477</v>
      </c>
      <c r="H65" s="109">
        <f>_xlfn.COMPOUNDVALUE(704)</f>
        <v>21</v>
      </c>
      <c r="I65" s="111">
        <v>15596</v>
      </c>
      <c r="J65" s="109">
        <v>65</v>
      </c>
      <c r="K65" s="111">
        <v>3221</v>
      </c>
      <c r="L65" s="109">
        <v>1101</v>
      </c>
      <c r="M65" s="111">
        <v>1695101</v>
      </c>
      <c r="N65" s="103">
        <v>1026</v>
      </c>
      <c r="O65" s="141">
        <v>35</v>
      </c>
      <c r="P65" s="141">
        <v>3</v>
      </c>
      <c r="Q65" s="142">
        <v>1064</v>
      </c>
      <c r="R65" s="112" t="s">
        <v>118</v>
      </c>
    </row>
    <row r="66" spans="1:18" ht="15.75" customHeight="1">
      <c r="A66" s="108" t="s">
        <v>119</v>
      </c>
      <c r="B66" s="109">
        <f>_xlfn.COMPOUNDVALUE(705)</f>
        <v>2812</v>
      </c>
      <c r="C66" s="110">
        <v>8913598</v>
      </c>
      <c r="D66" s="109">
        <f>_xlfn.COMPOUNDVALUE(706)</f>
        <v>2292</v>
      </c>
      <c r="E66" s="110">
        <v>709963</v>
      </c>
      <c r="F66" s="109">
        <f>_xlfn.COMPOUNDVALUE(707)</f>
        <v>5104</v>
      </c>
      <c r="G66" s="110">
        <v>9623561</v>
      </c>
      <c r="H66" s="109">
        <f>_xlfn.COMPOUNDVALUE(708)</f>
        <v>124</v>
      </c>
      <c r="I66" s="111">
        <v>724822</v>
      </c>
      <c r="J66" s="109">
        <v>299</v>
      </c>
      <c r="K66" s="111">
        <v>27382</v>
      </c>
      <c r="L66" s="109">
        <v>5276</v>
      </c>
      <c r="M66" s="111">
        <v>8926121</v>
      </c>
      <c r="N66" s="103">
        <v>5127</v>
      </c>
      <c r="O66" s="141">
        <v>94</v>
      </c>
      <c r="P66" s="141">
        <v>9</v>
      </c>
      <c r="Q66" s="142">
        <v>5230</v>
      </c>
      <c r="R66" s="112" t="s">
        <v>119</v>
      </c>
    </row>
    <row r="67" spans="1:18" ht="15.75" customHeight="1">
      <c r="A67" s="108" t="s">
        <v>120</v>
      </c>
      <c r="B67" s="109">
        <f>_xlfn.COMPOUNDVALUE(709)</f>
        <v>768</v>
      </c>
      <c r="C67" s="110">
        <v>1488477</v>
      </c>
      <c r="D67" s="109">
        <f>_xlfn.COMPOUNDVALUE(710)</f>
        <v>620</v>
      </c>
      <c r="E67" s="110">
        <v>165030</v>
      </c>
      <c r="F67" s="109">
        <f>_xlfn.COMPOUNDVALUE(711)</f>
        <v>1388</v>
      </c>
      <c r="G67" s="110">
        <v>1653506</v>
      </c>
      <c r="H67" s="109">
        <f>_xlfn.COMPOUNDVALUE(712)</f>
        <v>40</v>
      </c>
      <c r="I67" s="111">
        <v>28330</v>
      </c>
      <c r="J67" s="109">
        <v>79</v>
      </c>
      <c r="K67" s="111">
        <v>10885</v>
      </c>
      <c r="L67" s="109">
        <v>1437</v>
      </c>
      <c r="M67" s="111">
        <v>1636062</v>
      </c>
      <c r="N67" s="103">
        <v>1412</v>
      </c>
      <c r="O67" s="141">
        <v>18</v>
      </c>
      <c r="P67" s="141">
        <v>3</v>
      </c>
      <c r="Q67" s="142">
        <v>1433</v>
      </c>
      <c r="R67" s="112" t="s">
        <v>121</v>
      </c>
    </row>
    <row r="68" spans="1:18" ht="15.75" customHeight="1">
      <c r="A68" s="113" t="s">
        <v>122</v>
      </c>
      <c r="B68" s="114">
        <v>30050</v>
      </c>
      <c r="C68" s="115">
        <v>106893198</v>
      </c>
      <c r="D68" s="114">
        <v>23400</v>
      </c>
      <c r="E68" s="115">
        <v>6946066</v>
      </c>
      <c r="F68" s="114">
        <v>53450</v>
      </c>
      <c r="G68" s="115">
        <v>113839263</v>
      </c>
      <c r="H68" s="114">
        <v>1484</v>
      </c>
      <c r="I68" s="116">
        <v>4882473</v>
      </c>
      <c r="J68" s="114">
        <v>3449</v>
      </c>
      <c r="K68" s="116">
        <v>257108</v>
      </c>
      <c r="L68" s="114">
        <v>55675</v>
      </c>
      <c r="M68" s="116">
        <v>109213899</v>
      </c>
      <c r="N68" s="114">
        <v>54902</v>
      </c>
      <c r="O68" s="143">
        <v>1028</v>
      </c>
      <c r="P68" s="143">
        <v>119</v>
      </c>
      <c r="Q68" s="144">
        <v>56049</v>
      </c>
      <c r="R68" s="117" t="s">
        <v>123</v>
      </c>
    </row>
    <row r="69" spans="1:18" ht="15.75" customHeight="1">
      <c r="A69" s="118"/>
      <c r="B69" s="119"/>
      <c r="C69" s="120"/>
      <c r="D69" s="119"/>
      <c r="E69" s="120"/>
      <c r="F69" s="121"/>
      <c r="G69" s="120"/>
      <c r="H69" s="121"/>
      <c r="I69" s="120"/>
      <c r="J69" s="121"/>
      <c r="K69" s="120"/>
      <c r="L69" s="121"/>
      <c r="M69" s="120"/>
      <c r="N69" s="145"/>
      <c r="O69" s="146"/>
      <c r="P69" s="146"/>
      <c r="Q69" s="147"/>
      <c r="R69" s="148" t="s">
        <v>160</v>
      </c>
    </row>
    <row r="70" spans="1:18" ht="15.75" customHeight="1">
      <c r="A70" s="102" t="s">
        <v>124</v>
      </c>
      <c r="B70" s="103">
        <f>_xlfn.COMPOUNDVALUE(713)</f>
        <v>5971</v>
      </c>
      <c r="C70" s="104">
        <v>25095309</v>
      </c>
      <c r="D70" s="103">
        <f>_xlfn.COMPOUNDVALUE(714)</f>
        <v>4300</v>
      </c>
      <c r="E70" s="104">
        <v>1309046</v>
      </c>
      <c r="F70" s="103">
        <f>_xlfn.COMPOUNDVALUE(715)</f>
        <v>10271</v>
      </c>
      <c r="G70" s="104">
        <v>26404355</v>
      </c>
      <c r="H70" s="103">
        <f>_xlfn.COMPOUNDVALUE(716)</f>
        <v>254</v>
      </c>
      <c r="I70" s="105">
        <v>3054813</v>
      </c>
      <c r="J70" s="103">
        <v>867</v>
      </c>
      <c r="K70" s="105">
        <v>201264</v>
      </c>
      <c r="L70" s="103">
        <v>10689</v>
      </c>
      <c r="M70" s="105">
        <v>23550805</v>
      </c>
      <c r="N70" s="103">
        <v>10920</v>
      </c>
      <c r="O70" s="141">
        <v>174</v>
      </c>
      <c r="P70" s="141">
        <v>29</v>
      </c>
      <c r="Q70" s="142">
        <v>11123</v>
      </c>
      <c r="R70" s="112" t="s">
        <v>124</v>
      </c>
    </row>
    <row r="71" spans="1:18" ht="15.75" customHeight="1">
      <c r="A71" s="102" t="s">
        <v>125</v>
      </c>
      <c r="B71" s="103">
        <f>_xlfn.COMPOUNDVALUE(717)</f>
        <v>5190</v>
      </c>
      <c r="C71" s="104">
        <v>16651619</v>
      </c>
      <c r="D71" s="103">
        <f>_xlfn.COMPOUNDVALUE(718)</f>
        <v>4325</v>
      </c>
      <c r="E71" s="104">
        <v>1275280</v>
      </c>
      <c r="F71" s="103">
        <f>_xlfn.COMPOUNDVALUE(719)</f>
        <v>9515</v>
      </c>
      <c r="G71" s="104">
        <v>17926899</v>
      </c>
      <c r="H71" s="103">
        <f>_xlfn.COMPOUNDVALUE(720)</f>
        <v>309</v>
      </c>
      <c r="I71" s="105">
        <v>651342</v>
      </c>
      <c r="J71" s="103">
        <v>580</v>
      </c>
      <c r="K71" s="105">
        <v>34530</v>
      </c>
      <c r="L71" s="103">
        <v>9931</v>
      </c>
      <c r="M71" s="105">
        <v>17310087</v>
      </c>
      <c r="N71" s="103">
        <v>10054</v>
      </c>
      <c r="O71" s="141">
        <v>188</v>
      </c>
      <c r="P71" s="141">
        <v>25</v>
      </c>
      <c r="Q71" s="142">
        <v>10267</v>
      </c>
      <c r="R71" s="112" t="s">
        <v>125</v>
      </c>
    </row>
    <row r="72" spans="1:18" ht="15.75" customHeight="1">
      <c r="A72" s="102" t="s">
        <v>126</v>
      </c>
      <c r="B72" s="103">
        <f>_xlfn.COMPOUNDVALUE(721)</f>
        <v>3384</v>
      </c>
      <c r="C72" s="104">
        <v>11190381</v>
      </c>
      <c r="D72" s="103">
        <f>_xlfn.COMPOUNDVALUE(722)</f>
        <v>2618</v>
      </c>
      <c r="E72" s="104">
        <v>774539</v>
      </c>
      <c r="F72" s="103">
        <f>_xlfn.COMPOUNDVALUE(723)</f>
        <v>6002</v>
      </c>
      <c r="G72" s="104">
        <v>11964920</v>
      </c>
      <c r="H72" s="103">
        <f>_xlfn.COMPOUNDVALUE(724)</f>
        <v>164</v>
      </c>
      <c r="I72" s="105">
        <v>2181317</v>
      </c>
      <c r="J72" s="103">
        <v>418</v>
      </c>
      <c r="K72" s="105">
        <v>-17388</v>
      </c>
      <c r="L72" s="103">
        <v>6290</v>
      </c>
      <c r="M72" s="105">
        <v>9766215</v>
      </c>
      <c r="N72" s="103">
        <v>6236</v>
      </c>
      <c r="O72" s="141">
        <v>85</v>
      </c>
      <c r="P72" s="141">
        <v>14</v>
      </c>
      <c r="Q72" s="142">
        <v>6335</v>
      </c>
      <c r="R72" s="112" t="s">
        <v>126</v>
      </c>
    </row>
    <row r="73" spans="1:18" ht="15.75" customHeight="1">
      <c r="A73" s="108" t="s">
        <v>127</v>
      </c>
      <c r="B73" s="109">
        <f>_xlfn.COMPOUNDVALUE(725)</f>
        <v>2394</v>
      </c>
      <c r="C73" s="110">
        <v>6765603</v>
      </c>
      <c r="D73" s="109">
        <f>_xlfn.COMPOUNDVALUE(726)</f>
        <v>1790</v>
      </c>
      <c r="E73" s="110">
        <v>507565</v>
      </c>
      <c r="F73" s="109">
        <f>_xlfn.COMPOUNDVALUE(727)</f>
        <v>4184</v>
      </c>
      <c r="G73" s="110">
        <v>7273168</v>
      </c>
      <c r="H73" s="109">
        <f>_xlfn.COMPOUNDVALUE(728)</f>
        <v>87</v>
      </c>
      <c r="I73" s="111">
        <v>232276</v>
      </c>
      <c r="J73" s="109">
        <v>283</v>
      </c>
      <c r="K73" s="111">
        <v>41314</v>
      </c>
      <c r="L73" s="109">
        <v>4322</v>
      </c>
      <c r="M73" s="111">
        <v>7082206</v>
      </c>
      <c r="N73" s="103">
        <v>4306</v>
      </c>
      <c r="O73" s="141">
        <v>94</v>
      </c>
      <c r="P73" s="141">
        <v>5</v>
      </c>
      <c r="Q73" s="142">
        <v>4405</v>
      </c>
      <c r="R73" s="112" t="s">
        <v>127</v>
      </c>
    </row>
    <row r="74" spans="1:18" ht="15.75" customHeight="1">
      <c r="A74" s="108" t="s">
        <v>128</v>
      </c>
      <c r="B74" s="109">
        <f>_xlfn.COMPOUNDVALUE(729)</f>
        <v>2973</v>
      </c>
      <c r="C74" s="110">
        <v>9710021</v>
      </c>
      <c r="D74" s="109">
        <f>_xlfn.COMPOUNDVALUE(730)</f>
        <v>2395</v>
      </c>
      <c r="E74" s="110">
        <v>696344</v>
      </c>
      <c r="F74" s="109">
        <f>_xlfn.COMPOUNDVALUE(731)</f>
        <v>5368</v>
      </c>
      <c r="G74" s="110">
        <v>10406365</v>
      </c>
      <c r="H74" s="109">
        <f>_xlfn.COMPOUNDVALUE(732)</f>
        <v>197</v>
      </c>
      <c r="I74" s="111">
        <v>2365902</v>
      </c>
      <c r="J74" s="109">
        <v>305</v>
      </c>
      <c r="K74" s="111">
        <v>33162</v>
      </c>
      <c r="L74" s="109">
        <v>5659</v>
      </c>
      <c r="M74" s="111">
        <v>8073626</v>
      </c>
      <c r="N74" s="103">
        <v>5614</v>
      </c>
      <c r="O74" s="141">
        <v>97</v>
      </c>
      <c r="P74" s="141">
        <v>18</v>
      </c>
      <c r="Q74" s="142">
        <v>5729</v>
      </c>
      <c r="R74" s="112" t="s">
        <v>128</v>
      </c>
    </row>
    <row r="75" spans="1:18" ht="15.75" customHeight="1">
      <c r="A75" s="108" t="s">
        <v>129</v>
      </c>
      <c r="B75" s="109">
        <f>_xlfn.COMPOUNDVALUE(733)</f>
        <v>2242</v>
      </c>
      <c r="C75" s="110">
        <v>7344558</v>
      </c>
      <c r="D75" s="109">
        <f>_xlfn.COMPOUNDVALUE(734)</f>
        <v>1935</v>
      </c>
      <c r="E75" s="110">
        <v>556696</v>
      </c>
      <c r="F75" s="109">
        <f>_xlfn.COMPOUNDVALUE(735)</f>
        <v>4177</v>
      </c>
      <c r="G75" s="110">
        <v>7901254</v>
      </c>
      <c r="H75" s="109">
        <f>_xlfn.COMPOUNDVALUE(736)</f>
        <v>149</v>
      </c>
      <c r="I75" s="111">
        <v>1021085</v>
      </c>
      <c r="J75" s="109">
        <v>211</v>
      </c>
      <c r="K75" s="111">
        <v>10866</v>
      </c>
      <c r="L75" s="109">
        <v>4363</v>
      </c>
      <c r="M75" s="111">
        <v>6891036</v>
      </c>
      <c r="N75" s="103">
        <v>4449</v>
      </c>
      <c r="O75" s="141">
        <v>89</v>
      </c>
      <c r="P75" s="141">
        <v>7</v>
      </c>
      <c r="Q75" s="142">
        <v>4545</v>
      </c>
      <c r="R75" s="112" t="s">
        <v>129</v>
      </c>
    </row>
    <row r="76" spans="1:18" ht="15.75" customHeight="1">
      <c r="A76" s="108" t="s">
        <v>130</v>
      </c>
      <c r="B76" s="109">
        <f>_xlfn.COMPOUNDVALUE(737)</f>
        <v>1494</v>
      </c>
      <c r="C76" s="110">
        <v>2797887</v>
      </c>
      <c r="D76" s="109">
        <f>_xlfn.COMPOUNDVALUE(738)</f>
        <v>1381</v>
      </c>
      <c r="E76" s="110">
        <v>370836</v>
      </c>
      <c r="F76" s="109">
        <f>_xlfn.COMPOUNDVALUE(739)</f>
        <v>2875</v>
      </c>
      <c r="G76" s="110">
        <v>3168723</v>
      </c>
      <c r="H76" s="109">
        <f>_xlfn.COMPOUNDVALUE(740)</f>
        <v>92</v>
      </c>
      <c r="I76" s="111">
        <v>85546</v>
      </c>
      <c r="J76" s="109">
        <v>211</v>
      </c>
      <c r="K76" s="111">
        <v>17330</v>
      </c>
      <c r="L76" s="109">
        <v>3006</v>
      </c>
      <c r="M76" s="111">
        <v>3100506</v>
      </c>
      <c r="N76" s="103">
        <v>2919</v>
      </c>
      <c r="O76" s="141">
        <v>99</v>
      </c>
      <c r="P76" s="141">
        <v>2</v>
      </c>
      <c r="Q76" s="142">
        <v>3020</v>
      </c>
      <c r="R76" s="112" t="s">
        <v>130</v>
      </c>
    </row>
    <row r="77" spans="1:18" ht="15.75" customHeight="1">
      <c r="A77" s="108" t="s">
        <v>131</v>
      </c>
      <c r="B77" s="109">
        <f>_xlfn.COMPOUNDVALUE(741)</f>
        <v>870</v>
      </c>
      <c r="C77" s="110">
        <v>1724433</v>
      </c>
      <c r="D77" s="109">
        <f>_xlfn.COMPOUNDVALUE(742)</f>
        <v>742</v>
      </c>
      <c r="E77" s="110">
        <v>204717</v>
      </c>
      <c r="F77" s="109">
        <f>_xlfn.COMPOUNDVALUE(743)</f>
        <v>1612</v>
      </c>
      <c r="G77" s="110">
        <v>1929150</v>
      </c>
      <c r="H77" s="109">
        <f>_xlfn.COMPOUNDVALUE(744)</f>
        <v>29</v>
      </c>
      <c r="I77" s="111">
        <v>62838</v>
      </c>
      <c r="J77" s="109">
        <v>94</v>
      </c>
      <c r="K77" s="111">
        <v>25729</v>
      </c>
      <c r="L77" s="109">
        <v>1660</v>
      </c>
      <c r="M77" s="111">
        <v>1892042</v>
      </c>
      <c r="N77" s="103">
        <v>1611</v>
      </c>
      <c r="O77" s="141">
        <v>33</v>
      </c>
      <c r="P77" s="141">
        <v>0</v>
      </c>
      <c r="Q77" s="142">
        <v>1644</v>
      </c>
      <c r="R77" s="112" t="s">
        <v>131</v>
      </c>
    </row>
    <row r="78" spans="1:18" ht="15.75" customHeight="1">
      <c r="A78" s="108" t="s">
        <v>132</v>
      </c>
      <c r="B78" s="109">
        <f>_xlfn.COMPOUNDVALUE(745)</f>
        <v>2836</v>
      </c>
      <c r="C78" s="110">
        <v>6647927</v>
      </c>
      <c r="D78" s="109">
        <f>_xlfn.COMPOUNDVALUE(746)</f>
        <v>2923</v>
      </c>
      <c r="E78" s="110">
        <v>818778</v>
      </c>
      <c r="F78" s="109">
        <f>_xlfn.COMPOUNDVALUE(747)</f>
        <v>5759</v>
      </c>
      <c r="G78" s="110">
        <v>7466705</v>
      </c>
      <c r="H78" s="109">
        <f>_xlfn.COMPOUNDVALUE(748)</f>
        <v>161</v>
      </c>
      <c r="I78" s="111">
        <v>1719035</v>
      </c>
      <c r="J78" s="109">
        <v>382</v>
      </c>
      <c r="K78" s="111">
        <v>26981</v>
      </c>
      <c r="L78" s="109">
        <v>6040</v>
      </c>
      <c r="M78" s="111">
        <v>5774651</v>
      </c>
      <c r="N78" s="103">
        <v>6008</v>
      </c>
      <c r="O78" s="141">
        <v>125</v>
      </c>
      <c r="P78" s="141">
        <v>15</v>
      </c>
      <c r="Q78" s="142">
        <v>6148</v>
      </c>
      <c r="R78" s="112" t="s">
        <v>132</v>
      </c>
    </row>
    <row r="79" spans="1:18" ht="15.75" customHeight="1">
      <c r="A79" s="108" t="s">
        <v>133</v>
      </c>
      <c r="B79" s="109">
        <f>_xlfn.COMPOUNDVALUE(749)</f>
        <v>480</v>
      </c>
      <c r="C79" s="110">
        <v>1044239</v>
      </c>
      <c r="D79" s="109">
        <f>_xlfn.COMPOUNDVALUE(750)</f>
        <v>380</v>
      </c>
      <c r="E79" s="110">
        <v>104445</v>
      </c>
      <c r="F79" s="109">
        <f>_xlfn.COMPOUNDVALUE(751)</f>
        <v>860</v>
      </c>
      <c r="G79" s="110">
        <v>1148684</v>
      </c>
      <c r="H79" s="109">
        <f>_xlfn.COMPOUNDVALUE(752)</f>
        <v>29</v>
      </c>
      <c r="I79" s="111">
        <v>10106</v>
      </c>
      <c r="J79" s="109">
        <v>89</v>
      </c>
      <c r="K79" s="111">
        <v>5571</v>
      </c>
      <c r="L79" s="109">
        <v>897</v>
      </c>
      <c r="M79" s="111">
        <v>1144149</v>
      </c>
      <c r="N79" s="103">
        <v>873</v>
      </c>
      <c r="O79" s="141">
        <v>23</v>
      </c>
      <c r="P79" s="141">
        <v>1</v>
      </c>
      <c r="Q79" s="142">
        <v>897</v>
      </c>
      <c r="R79" s="112" t="s">
        <v>133</v>
      </c>
    </row>
    <row r="80" spans="1:18" ht="15.75" customHeight="1">
      <c r="A80" s="113" t="s">
        <v>134</v>
      </c>
      <c r="B80" s="114">
        <v>27834</v>
      </c>
      <c r="C80" s="115">
        <v>88971977</v>
      </c>
      <c r="D80" s="114">
        <v>22789</v>
      </c>
      <c r="E80" s="115">
        <v>6618247</v>
      </c>
      <c r="F80" s="114">
        <v>50623</v>
      </c>
      <c r="G80" s="115">
        <v>95590223</v>
      </c>
      <c r="H80" s="114">
        <v>1471</v>
      </c>
      <c r="I80" s="116">
        <v>11384260</v>
      </c>
      <c r="J80" s="114">
        <v>3440</v>
      </c>
      <c r="K80" s="116">
        <v>379359</v>
      </c>
      <c r="L80" s="114">
        <v>52857</v>
      </c>
      <c r="M80" s="116">
        <v>84585322</v>
      </c>
      <c r="N80" s="114">
        <v>52990</v>
      </c>
      <c r="O80" s="143">
        <v>1007</v>
      </c>
      <c r="P80" s="143">
        <v>116</v>
      </c>
      <c r="Q80" s="144">
        <v>54113</v>
      </c>
      <c r="R80" s="117" t="s">
        <v>135</v>
      </c>
    </row>
    <row r="81" spans="1:18" ht="15.75" customHeight="1" thickBot="1">
      <c r="A81" s="124"/>
      <c r="B81" s="125"/>
      <c r="C81" s="126"/>
      <c r="D81" s="125"/>
      <c r="E81" s="126"/>
      <c r="F81" s="127"/>
      <c r="G81" s="126"/>
      <c r="H81" s="127"/>
      <c r="I81" s="126"/>
      <c r="J81" s="127"/>
      <c r="K81" s="126"/>
      <c r="L81" s="127"/>
      <c r="M81" s="126"/>
      <c r="N81" s="149"/>
      <c r="O81" s="150"/>
      <c r="P81" s="150"/>
      <c r="Q81" s="151"/>
      <c r="R81" s="152" t="s">
        <v>160</v>
      </c>
    </row>
    <row r="82" spans="1:18" ht="15.75" customHeight="1" thickBot="1" thickTop="1">
      <c r="A82" s="130" t="s">
        <v>137</v>
      </c>
      <c r="B82" s="131">
        <v>215913</v>
      </c>
      <c r="C82" s="132">
        <v>706609324</v>
      </c>
      <c r="D82" s="131">
        <v>182533</v>
      </c>
      <c r="E82" s="132">
        <v>55616128</v>
      </c>
      <c r="F82" s="131">
        <v>398446</v>
      </c>
      <c r="G82" s="132">
        <v>762225451</v>
      </c>
      <c r="H82" s="131">
        <v>12597</v>
      </c>
      <c r="I82" s="133">
        <v>49380744</v>
      </c>
      <c r="J82" s="131">
        <v>26827</v>
      </c>
      <c r="K82" s="159">
        <v>-10520940</v>
      </c>
      <c r="L82" s="131">
        <v>418724</v>
      </c>
      <c r="M82" s="133">
        <v>702323767</v>
      </c>
      <c r="N82" s="153">
        <v>420661</v>
      </c>
      <c r="O82" s="154">
        <v>8419</v>
      </c>
      <c r="P82" s="154">
        <v>902</v>
      </c>
      <c r="Q82" s="155">
        <v>429982</v>
      </c>
      <c r="R82" s="156" t="s">
        <v>137</v>
      </c>
    </row>
    <row r="83" spans="1:11" ht="13.5">
      <c r="A83" s="200" t="s">
        <v>161</v>
      </c>
      <c r="B83" s="200"/>
      <c r="C83" s="200"/>
      <c r="D83" s="200"/>
      <c r="E83" s="200"/>
      <c r="F83" s="200"/>
      <c r="G83" s="200"/>
      <c r="H83" s="200"/>
      <c r="I83" s="200"/>
      <c r="J83" s="200"/>
      <c r="K83" s="200"/>
    </row>
  </sheetData>
  <sheetProtection/>
  <mergeCells count="16">
    <mergeCell ref="L3:M4"/>
    <mergeCell ref="A2:I2"/>
    <mergeCell ref="A3:A5"/>
    <mergeCell ref="B3:G3"/>
    <mergeCell ref="H3:I4"/>
    <mergeCell ref="J3:K4"/>
    <mergeCell ref="A83:K83"/>
    <mergeCell ref="N3:Q3"/>
    <mergeCell ref="R3:R5"/>
    <mergeCell ref="B4:C4"/>
    <mergeCell ref="D4:E4"/>
    <mergeCell ref="F4:G4"/>
    <mergeCell ref="N4:N5"/>
    <mergeCell ref="O4:O5"/>
    <mergeCell ref="P4:P5"/>
    <mergeCell ref="Q4:Q5"/>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51" r:id="rId1"/>
  <headerFooter alignWithMargins="0">
    <oddFooter>&amp;R関東信越国税局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2014-06-11T04:23:33Z</cp:lastPrinted>
  <dcterms:created xsi:type="dcterms:W3CDTF">2003-07-09T01:05:10Z</dcterms:created>
  <dcterms:modified xsi:type="dcterms:W3CDTF">2014-06-12T04:57:33Z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