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<sst xmlns="http://schemas.openxmlformats.org/spreadsheetml/2006/main" count="315" uniqueCount="134">
  <si>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</si>
  <si>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</si>
  <si>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</si>
  <si>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</si>
  <si>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</si>
  <si>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</si>
  <si>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</si>
  <si>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</si>
  <si>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</si>
  <si>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</si>
  <si>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</si>
  <si>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</si>
  <si>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</si>
  <si>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</si>
  <si>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</si>
  <si>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</si>
  <si>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</si>
  <si>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</si>
  <si>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</si>
  <si>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</si>
  <si>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</si>
  <si>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</si>
  <si>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</si>
  <si>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</si>
  <si>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</si>
  <si>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</si>
  <si>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</si>
  <si>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</si>
  <si>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</si>
  <si>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</si>
  <si>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</si>
  <si>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</si>
  <si>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</si>
  <si>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</si>
  <si>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</si>
  <si>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</si>
  <si>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</si>
  <si>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</si>
  <si>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</si>
  <si>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</si>
  <si>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</si>
  <si>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</si>
  <si>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</si>
  <si>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</si>
  <si>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</si>
  <si>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</si>
  <si>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</si>
  <si>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</si>
  <si>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</si>
  <si>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</si>
  <si>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</si>
  <si>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</si>
  <si>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</si>
  <si>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</si>
  <si>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</si>
  <si>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</si>
  <si>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</si>
  <si>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</si>
  <si>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</si>
  <si>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</si>
  <si>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</si>
  <si>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</si>
  <si>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</si>
  <si>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</si>
  <si>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</si>
  <si>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</si>
  <si>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</si>
  <si>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</si>
  <si>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</si>
  <si>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</si>
  <si>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</si>
  <si>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</si>
  <si>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</si>
  <si>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</si>
  <si>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</si>
  <si>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</si>
  <si>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</si>
  <si>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</si>
  <si>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</si>
  <si>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</si>
  <si>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</si>
  <si>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</si>
  <si>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</si>
  <si>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</si>
  <si>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</si>
  <si>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</si>
  <si>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</si>
  <si>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</si>
  <si>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</si>
  <si>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</si>
  <si>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</si>
  <si>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</si>
  <si>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</si>
  <si>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</si>
  <si>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</si>
  <si>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</si>
  <si>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</si>
  <si>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</si>
  <si>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</si>
  <si>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</si>
  <si>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平成24年度</t>
  </si>
  <si>
    <t>調査対象等：</t>
  </si>
  <si>
    <t>（注）１</t>
  </si>
  <si>
    <t>税関分は含まない。</t>
  </si>
  <si>
    <t>　　　２</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</si>
  <si>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</si>
  <si>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</si>
  <si>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</si>
  <si>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</si>
  <si>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</si>
  <si>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</si>
  <si>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</si>
  <si>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</si>
  <si>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</si>
  <si>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</si>
  <si>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</si>
  <si>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</si>
  <si>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</si>
  <si>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</si>
  <si>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</si>
  <si>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</si>
  <si>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平成25年度</t>
  </si>
  <si>
    <t>平成26年度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</si>
  <si>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</si>
  <si>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</si>
  <si>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現年分」は、平成28年４月１日から平成29年３月31日までに終了した課税期間について、平成29年６月30日現在の申告（国・地方公共団体等については平成29年９月30日までの申告を含む。）及び処理（更正、決定等）による課税事績を「申告書及び決議書」に基づいて作成した。</t>
  </si>
  <si>
    <t>　「既往年分」は、平成28年３月31日以前に終了した課税期間について、平成28年７月１日から平成29年６月30日までの間の申告（平成28年７月１日から同年９月30日までの間の国・地方公共団体等に係る申告を除く。）及び処理（更正、決定等）による課税事績を「申告書及び決議書」に基づいて作成した。</t>
  </si>
  <si>
    <t>平成27年度</t>
  </si>
  <si>
    <t>平成28年度</t>
  </si>
  <si>
    <t>調査対象等：平成28年度末（平成29年３月31日現在）の届出件数を示している。</t>
  </si>
  <si>
    <t>実件</t>
  </si>
  <si>
    <t>(4)　税務署別課税状況等</t>
  </si>
  <si>
    <t>(4)　税務署別課税状況等（続）</t>
  </si>
  <si>
    <t>「件数」欄の「実」は、実件数を示す。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</si>
</sst>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1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2" fillId="0" borderId="38" xfId="0" applyFont="1" applyBorder="1" applyAlignment="1">
      <alignment horizontal="left" vertical="top" wrapText="1"/>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9"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0" xfId="61" applyFont="1" applyBorder="1" applyAlignment="1">
      <alignment horizontal="distributed" vertical="center" indent="1"/>
      <protection/>
    </xf>
    <xf numFmtId="0" fontId="2" fillId="0" borderId="41" xfId="61" applyFont="1" applyBorder="1" applyAlignment="1">
      <alignment horizontal="distributed" vertical="center" indent="1"/>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2"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3"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8" fillId="0" borderId="50" xfId="61" applyFont="1" applyFill="1" applyBorder="1" applyAlignment="1">
      <alignment horizontal="distributed"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distributed" vertical="center"/>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41" xfId="61" applyFont="1" applyBorder="1" applyAlignment="1">
      <alignment horizontal="center" vertical="center" wrapText="1"/>
      <protection/>
    </xf>
    <xf numFmtId="0" fontId="7" fillId="34" borderId="29"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2" fillId="36" borderId="59" xfId="61" applyFont="1" applyFill="1" applyBorder="1" applyAlignment="1">
      <alignment horizontal="distributed"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177" fontId="8"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3" fontId="2" fillId="34" borderId="96"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4" borderId="98" xfId="0" applyNumberFormat="1" applyFont="1" applyFill="1" applyBorder="1" applyAlignment="1">
      <alignment vertical="center"/>
    </xf>
    <xf numFmtId="3" fontId="2" fillId="34" borderId="99" xfId="0" applyNumberFormat="1" applyFont="1" applyFill="1" applyBorder="1" applyAlignment="1">
      <alignment vertical="center"/>
    </xf>
    <xf numFmtId="3" fontId="2" fillId="34" borderId="100" xfId="0" applyNumberFormat="1" applyFont="1" applyFill="1" applyBorder="1" applyAlignment="1">
      <alignment vertical="center"/>
    </xf>
    <xf numFmtId="3" fontId="2" fillId="34" borderId="55" xfId="0" applyNumberFormat="1" applyFont="1" applyFill="1" applyBorder="1" applyAlignment="1">
      <alignmen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wrapText="1"/>
    </xf>
    <xf numFmtId="0" fontId="2" fillId="0" borderId="112" xfId="0" applyFont="1" applyBorder="1" applyAlignment="1">
      <alignment horizontal="distributed" vertical="center"/>
    </xf>
    <xf numFmtId="0" fontId="6" fillId="0" borderId="113" xfId="0" applyFont="1" applyBorder="1" applyAlignment="1">
      <alignment horizontal="distributed" vertical="center"/>
    </xf>
    <xf numFmtId="0" fontId="6" fillId="0" borderId="114" xfId="0" applyFont="1" applyBorder="1" applyAlignment="1">
      <alignment horizontal="distributed" vertical="center"/>
    </xf>
    <xf numFmtId="0" fontId="2" fillId="0" borderId="54" xfId="0" applyFont="1" applyBorder="1" applyAlignment="1">
      <alignment horizontal="distributed" vertical="center"/>
    </xf>
    <xf numFmtId="0" fontId="2" fillId="0" borderId="115" xfId="0" applyFont="1" applyBorder="1" applyAlignment="1">
      <alignment horizontal="distributed" vertical="center"/>
    </xf>
    <xf numFmtId="0" fontId="2" fillId="0" borderId="38" xfId="0" applyFont="1" applyBorder="1" applyAlignment="1">
      <alignment horizontal="left" vertical="top" wrapText="1"/>
    </xf>
    <xf numFmtId="0" fontId="2" fillId="0" borderId="0" xfId="0" applyFont="1" applyAlignment="1">
      <alignment horizontal="left" vertical="top" wrapText="1"/>
    </xf>
    <xf numFmtId="0" fontId="2" fillId="0" borderId="116" xfId="0" applyFont="1" applyBorder="1" applyAlignment="1">
      <alignment horizontal="center" vertical="center"/>
    </xf>
    <xf numFmtId="0" fontId="2" fillId="0" borderId="38"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0"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01" xfId="61" applyFont="1" applyBorder="1" applyAlignment="1">
      <alignment horizontal="distributed" vertical="center"/>
      <protection/>
    </xf>
    <xf numFmtId="0" fontId="2" fillId="0" borderId="103" xfId="61" applyFont="1" applyBorder="1" applyAlignment="1">
      <alignment horizontal="distributed" vertical="center"/>
      <protection/>
    </xf>
    <xf numFmtId="0" fontId="2" fillId="0" borderId="122" xfId="61" applyFont="1" applyBorder="1" applyAlignment="1">
      <alignment horizontal="distributed"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4" xfId="61" applyFont="1" applyBorder="1" applyAlignment="1">
      <alignment horizontal="center" vertical="center" wrapText="1"/>
      <protection/>
    </xf>
    <xf numFmtId="0" fontId="2" fillId="0" borderId="39" xfId="61" applyFont="1" applyBorder="1" applyAlignment="1">
      <alignment horizontal="distributed" vertical="center" wrapText="1"/>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2" fillId="0" borderId="38" xfId="61" applyFont="1" applyBorder="1" applyAlignment="1">
      <alignment horizontal="left" vertical="center"/>
      <protection/>
    </xf>
    <xf numFmtId="0" fontId="2" fillId="0" borderId="132" xfId="61" applyFont="1" applyBorder="1" applyAlignment="1">
      <alignment horizontal="left"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distributed" vertical="center" wrapText="1"/>
      <protection/>
    </xf>
    <xf numFmtId="0" fontId="2" fillId="0" borderId="136" xfId="61" applyFont="1" applyBorder="1" applyAlignment="1">
      <alignment horizontal="distributed" vertical="center"/>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distributed"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42" xfId="61" applyFont="1" applyBorder="1" applyAlignment="1">
      <alignment horizontal="center" vertical="center"/>
      <protection/>
    </xf>
    <xf numFmtId="0" fontId="2" fillId="0" borderId="123"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1" t="s">
        <v>0</v>
      </c>
      <c r="B1" s="151"/>
      <c r="C1" s="151"/>
      <c r="D1" s="151"/>
      <c r="E1" s="151"/>
      <c r="F1" s="151"/>
      <c r="G1" s="151"/>
      <c r="H1" s="151"/>
      <c r="I1" s="151"/>
      <c r="J1" s="151"/>
      <c r="K1" s="151"/>
    </row>
    <row r="2" spans="1:11" ht="15">
      <c r="A2" s="54"/>
      <c r="B2" s="54"/>
      <c r="C2" s="54"/>
      <c r="D2" s="54"/>
      <c r="E2" s="54"/>
      <c r="F2" s="54"/>
      <c r="G2" s="54"/>
      <c r="H2" s="54"/>
      <c r="I2" s="54"/>
      <c r="J2" s="54"/>
      <c r="K2" s="54"/>
    </row>
    <row r="3" spans="1:11" ht="12" thickBot="1">
      <c r="A3" s="152" t="s">
        <v>24</v>
      </c>
      <c r="B3" s="152"/>
      <c r="C3" s="152"/>
      <c r="D3" s="152"/>
      <c r="E3" s="152"/>
      <c r="F3" s="152"/>
      <c r="G3" s="152"/>
      <c r="H3" s="152"/>
      <c r="I3" s="152"/>
      <c r="J3" s="152"/>
      <c r="K3" s="152"/>
    </row>
    <row r="4" spans="1:11" ht="24" customHeight="1">
      <c r="A4" s="153" t="s">
        <v>1</v>
      </c>
      <c r="B4" s="154"/>
      <c r="C4" s="157" t="s">
        <v>15</v>
      </c>
      <c r="D4" s="158"/>
      <c r="E4" s="159"/>
      <c r="F4" s="157" t="s">
        <v>16</v>
      </c>
      <c r="G4" s="158"/>
      <c r="H4" s="159"/>
      <c r="I4" s="157" t="s">
        <v>17</v>
      </c>
      <c r="J4" s="158"/>
      <c r="K4" s="160"/>
    </row>
    <row r="5" spans="1:11" ht="24" customHeight="1">
      <c r="A5" s="155"/>
      <c r="B5" s="156"/>
      <c r="C5" s="161" t="s">
        <v>2</v>
      </c>
      <c r="D5" s="162"/>
      <c r="E5" s="6" t="s">
        <v>3</v>
      </c>
      <c r="F5" s="161" t="s">
        <v>2</v>
      </c>
      <c r="G5" s="162"/>
      <c r="H5" s="6" t="s">
        <v>3</v>
      </c>
      <c r="I5" s="161" t="s">
        <v>2</v>
      </c>
      <c r="J5" s="162"/>
      <c r="K5" s="14" t="s">
        <v>3</v>
      </c>
    </row>
    <row r="6" spans="1:11" ht="12" customHeight="1">
      <c r="A6" s="40"/>
      <c r="B6" s="43"/>
      <c r="C6" s="41"/>
      <c r="D6" s="33" t="s">
        <v>26</v>
      </c>
      <c r="E6" s="32" t="s">
        <v>25</v>
      </c>
      <c r="F6" s="41"/>
      <c r="G6" s="33" t="s">
        <v>26</v>
      </c>
      <c r="H6" s="32" t="s">
        <v>25</v>
      </c>
      <c r="I6" s="41"/>
      <c r="J6" s="33" t="s">
        <v>26</v>
      </c>
      <c r="K6" s="42" t="s">
        <v>25</v>
      </c>
    </row>
    <row r="7" spans="1:11" ht="30" customHeight="1">
      <c r="A7" s="163" t="s">
        <v>27</v>
      </c>
      <c r="B7" s="37" t="s">
        <v>18</v>
      </c>
      <c r="C7" s="15"/>
      <c r="D7" s="93">
        <v>12462</v>
      </c>
      <c r="E7" s="38">
        <v>8673701</v>
      </c>
      <c r="F7" s="18"/>
      <c r="G7" s="93">
        <v>33080</v>
      </c>
      <c r="H7" s="38">
        <v>271912357</v>
      </c>
      <c r="I7" s="18"/>
      <c r="J7" s="93">
        <v>45542</v>
      </c>
      <c r="K7" s="39">
        <v>280586057</v>
      </c>
    </row>
    <row r="8" spans="1:11" ht="30" customHeight="1">
      <c r="A8" s="164"/>
      <c r="B8" s="23" t="s">
        <v>19</v>
      </c>
      <c r="C8" s="15"/>
      <c r="D8" s="94">
        <v>18553</v>
      </c>
      <c r="E8" s="95">
        <v>7384751</v>
      </c>
      <c r="F8" s="18"/>
      <c r="G8" s="94">
        <v>12291</v>
      </c>
      <c r="H8" s="95">
        <v>7250234</v>
      </c>
      <c r="I8" s="18"/>
      <c r="J8" s="94">
        <v>30844</v>
      </c>
      <c r="K8" s="96">
        <v>14634985</v>
      </c>
    </row>
    <row r="9" spans="1:11" s="3" customFormat="1" ht="30" customHeight="1">
      <c r="A9" s="164"/>
      <c r="B9" s="24" t="s">
        <v>20</v>
      </c>
      <c r="C9" s="16"/>
      <c r="D9" s="97">
        <v>31015</v>
      </c>
      <c r="E9" s="98">
        <v>16058452</v>
      </c>
      <c r="F9" s="16"/>
      <c r="G9" s="97">
        <v>45371</v>
      </c>
      <c r="H9" s="98">
        <v>279162591</v>
      </c>
      <c r="I9" s="16"/>
      <c r="J9" s="97">
        <v>76386</v>
      </c>
      <c r="K9" s="99">
        <v>295221042</v>
      </c>
    </row>
    <row r="10" spans="1:11" ht="30" customHeight="1">
      <c r="A10" s="165"/>
      <c r="B10" s="25" t="s">
        <v>21</v>
      </c>
      <c r="C10" s="15"/>
      <c r="D10" s="100">
        <v>727</v>
      </c>
      <c r="E10" s="101">
        <v>462986</v>
      </c>
      <c r="F10" s="15"/>
      <c r="G10" s="100">
        <v>2607</v>
      </c>
      <c r="H10" s="101">
        <v>18831568</v>
      </c>
      <c r="I10" s="15"/>
      <c r="J10" s="100">
        <v>3334</v>
      </c>
      <c r="K10" s="102">
        <v>19294554</v>
      </c>
    </row>
    <row r="11" spans="1:11" ht="30" customHeight="1">
      <c r="A11" s="166" t="s">
        <v>28</v>
      </c>
      <c r="B11" s="55" t="s">
        <v>22</v>
      </c>
      <c r="C11" s="9"/>
      <c r="D11" s="103">
        <v>1926</v>
      </c>
      <c r="E11" s="20">
        <v>387039</v>
      </c>
      <c r="F11" s="34"/>
      <c r="G11" s="104">
        <v>2328</v>
      </c>
      <c r="H11" s="20">
        <v>774862</v>
      </c>
      <c r="I11" s="34"/>
      <c r="J11" s="104">
        <v>4254</v>
      </c>
      <c r="K11" s="21">
        <v>1161901</v>
      </c>
    </row>
    <row r="12" spans="1:11" ht="30" customHeight="1">
      <c r="A12" s="167"/>
      <c r="B12" s="56" t="s">
        <v>23</v>
      </c>
      <c r="C12" s="35"/>
      <c r="D12" s="94">
        <v>156</v>
      </c>
      <c r="E12" s="95">
        <v>31651</v>
      </c>
      <c r="F12" s="36"/>
      <c r="G12" s="105">
        <v>347</v>
      </c>
      <c r="H12" s="95">
        <v>230497</v>
      </c>
      <c r="I12" s="36"/>
      <c r="J12" s="105">
        <v>503</v>
      </c>
      <c r="K12" s="96">
        <v>262149</v>
      </c>
    </row>
    <row r="13" spans="1:11" s="3" customFormat="1" ht="30" customHeight="1">
      <c r="A13" s="168" t="s">
        <v>6</v>
      </c>
      <c r="B13" s="169"/>
      <c r="C13" s="26" t="s">
        <v>14</v>
      </c>
      <c r="D13" s="106">
        <v>32305</v>
      </c>
      <c r="E13" s="107">
        <v>15950853</v>
      </c>
      <c r="F13" s="26" t="s">
        <v>14</v>
      </c>
      <c r="G13" s="106">
        <v>48264</v>
      </c>
      <c r="H13" s="107">
        <v>260875387</v>
      </c>
      <c r="I13" s="26" t="s">
        <v>14</v>
      </c>
      <c r="J13" s="106">
        <v>80569</v>
      </c>
      <c r="K13" s="108">
        <v>276826241</v>
      </c>
    </row>
    <row r="14" spans="1:11" ht="30" customHeight="1" thickBot="1">
      <c r="A14" s="170" t="s">
        <v>7</v>
      </c>
      <c r="B14" s="171"/>
      <c r="C14" s="17"/>
      <c r="D14" s="109">
        <v>1626</v>
      </c>
      <c r="E14" s="110">
        <v>71894</v>
      </c>
      <c r="F14" s="19"/>
      <c r="G14" s="109">
        <v>1842</v>
      </c>
      <c r="H14" s="110">
        <v>128519</v>
      </c>
      <c r="I14" s="19"/>
      <c r="J14" s="109">
        <v>3468</v>
      </c>
      <c r="K14" s="111">
        <v>200413</v>
      </c>
    </row>
    <row r="15" spans="1:11" s="4" customFormat="1" ht="37.5" customHeight="1">
      <c r="A15" s="53" t="s">
        <v>101</v>
      </c>
      <c r="B15" s="172" t="s">
        <v>125</v>
      </c>
      <c r="C15" s="172"/>
      <c r="D15" s="172"/>
      <c r="E15" s="172"/>
      <c r="F15" s="172"/>
      <c r="G15" s="172"/>
      <c r="H15" s="172"/>
      <c r="I15" s="172"/>
      <c r="J15" s="172"/>
      <c r="K15" s="172"/>
    </row>
    <row r="16" spans="2:11" ht="45" customHeight="1">
      <c r="B16" s="173" t="s">
        <v>126</v>
      </c>
      <c r="C16" s="173"/>
      <c r="D16" s="173"/>
      <c r="E16" s="173"/>
      <c r="F16" s="173"/>
      <c r="G16" s="173"/>
      <c r="H16" s="173"/>
      <c r="I16" s="173"/>
      <c r="J16" s="173"/>
      <c r="K16" s="173"/>
    </row>
    <row r="17" spans="1:2" ht="14.25" customHeight="1">
      <c r="A17" s="1" t="s">
        <v>102</v>
      </c>
      <c r="B17" s="1" t="s">
        <v>103</v>
      </c>
    </row>
    <row r="18" spans="1:2" ht="11.25">
      <c r="A18" s="59" t="s">
        <v>104</v>
      </c>
      <c r="B18" s="1" t="s">
        <v>133</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29</v>
      </c>
    </row>
    <row r="2" spans="1:8" s="1" customFormat="1" ht="15" customHeight="1">
      <c r="A2" s="153" t="s">
        <v>1</v>
      </c>
      <c r="B2" s="154"/>
      <c r="C2" s="174" t="s">
        <v>116</v>
      </c>
      <c r="D2" s="174"/>
      <c r="E2" s="174" t="s">
        <v>117</v>
      </c>
      <c r="F2" s="174"/>
      <c r="G2" s="175" t="s">
        <v>118</v>
      </c>
      <c r="H2" s="176"/>
    </row>
    <row r="3" spans="1:8" s="1" customFormat="1" ht="15" customHeight="1">
      <c r="A3" s="155"/>
      <c r="B3" s="156"/>
      <c r="C3" s="9" t="s">
        <v>119</v>
      </c>
      <c r="D3" s="6" t="s">
        <v>120</v>
      </c>
      <c r="E3" s="9" t="s">
        <v>119</v>
      </c>
      <c r="F3" s="7" t="s">
        <v>120</v>
      </c>
      <c r="G3" s="9" t="s">
        <v>119</v>
      </c>
      <c r="H3" s="8" t="s">
        <v>120</v>
      </c>
    </row>
    <row r="4" spans="1:8" s="10" customFormat="1" ht="15" customHeight="1">
      <c r="A4" s="45"/>
      <c r="B4" s="6"/>
      <c r="C4" s="46" t="s">
        <v>4</v>
      </c>
      <c r="D4" s="47" t="s">
        <v>5</v>
      </c>
      <c r="E4" s="46" t="s">
        <v>4</v>
      </c>
      <c r="F4" s="47" t="s">
        <v>5</v>
      </c>
      <c r="G4" s="46" t="s">
        <v>4</v>
      </c>
      <c r="H4" s="48" t="s">
        <v>5</v>
      </c>
    </row>
    <row r="5" spans="1:8" s="57" customFormat="1" ht="30" customHeight="1">
      <c r="A5" s="179" t="s">
        <v>100</v>
      </c>
      <c r="B5" s="37" t="s">
        <v>12</v>
      </c>
      <c r="C5" s="44">
        <v>31805</v>
      </c>
      <c r="D5" s="38">
        <v>10297561</v>
      </c>
      <c r="E5" s="44">
        <v>46056</v>
      </c>
      <c r="F5" s="38">
        <v>162945419</v>
      </c>
      <c r="G5" s="44">
        <v>77861</v>
      </c>
      <c r="H5" s="39">
        <v>173242980</v>
      </c>
    </row>
    <row r="6" spans="1:8" s="57" customFormat="1" ht="30" customHeight="1">
      <c r="A6" s="180"/>
      <c r="B6" s="25" t="s">
        <v>13</v>
      </c>
      <c r="C6" s="28">
        <v>629</v>
      </c>
      <c r="D6" s="29">
        <v>170931</v>
      </c>
      <c r="E6" s="28">
        <v>1938</v>
      </c>
      <c r="F6" s="29">
        <v>9284777</v>
      </c>
      <c r="G6" s="28">
        <v>2567</v>
      </c>
      <c r="H6" s="30">
        <v>9455708</v>
      </c>
    </row>
    <row r="7" spans="1:8" s="57" customFormat="1" ht="30" customHeight="1">
      <c r="A7" s="177" t="s">
        <v>121</v>
      </c>
      <c r="B7" s="22" t="s">
        <v>12</v>
      </c>
      <c r="C7" s="27">
        <v>31599</v>
      </c>
      <c r="D7" s="20">
        <v>10091012</v>
      </c>
      <c r="E7" s="27">
        <v>45677</v>
      </c>
      <c r="F7" s="20">
        <v>164837273</v>
      </c>
      <c r="G7" s="27">
        <v>77276</v>
      </c>
      <c r="H7" s="21">
        <v>174928284</v>
      </c>
    </row>
    <row r="8" spans="1:8" s="57" customFormat="1" ht="30" customHeight="1">
      <c r="A8" s="181"/>
      <c r="B8" s="25" t="s">
        <v>13</v>
      </c>
      <c r="C8" s="28">
        <v>679</v>
      </c>
      <c r="D8" s="29">
        <v>237137</v>
      </c>
      <c r="E8" s="28">
        <v>2188</v>
      </c>
      <c r="F8" s="29">
        <v>8927235</v>
      </c>
      <c r="G8" s="28">
        <v>2867</v>
      </c>
      <c r="H8" s="30">
        <v>9164372</v>
      </c>
    </row>
    <row r="9" spans="1:8" s="57" customFormat="1" ht="30" customHeight="1">
      <c r="A9" s="179" t="s">
        <v>122</v>
      </c>
      <c r="B9" s="22" t="s">
        <v>12</v>
      </c>
      <c r="C9" s="27">
        <v>31340</v>
      </c>
      <c r="D9" s="20">
        <v>14534512</v>
      </c>
      <c r="E9" s="27">
        <v>45329</v>
      </c>
      <c r="F9" s="20">
        <v>236925082</v>
      </c>
      <c r="G9" s="27">
        <v>76669</v>
      </c>
      <c r="H9" s="21">
        <v>251459594</v>
      </c>
    </row>
    <row r="10" spans="1:8" s="57" customFormat="1" ht="30" customHeight="1">
      <c r="A10" s="180"/>
      <c r="B10" s="25" t="s">
        <v>13</v>
      </c>
      <c r="C10" s="28">
        <v>788</v>
      </c>
      <c r="D10" s="29">
        <v>355536</v>
      </c>
      <c r="E10" s="28">
        <v>2426</v>
      </c>
      <c r="F10" s="29">
        <v>18794523</v>
      </c>
      <c r="G10" s="28">
        <v>3214</v>
      </c>
      <c r="H10" s="30">
        <v>19150059</v>
      </c>
    </row>
    <row r="11" spans="1:8" s="57" customFormat="1" ht="30" customHeight="1">
      <c r="A11" s="177" t="s">
        <v>127</v>
      </c>
      <c r="B11" s="22" t="s">
        <v>12</v>
      </c>
      <c r="C11" s="27">
        <v>31259</v>
      </c>
      <c r="D11" s="20">
        <v>16069693</v>
      </c>
      <c r="E11" s="27">
        <v>45221</v>
      </c>
      <c r="F11" s="20">
        <v>273245954</v>
      </c>
      <c r="G11" s="27">
        <v>76480</v>
      </c>
      <c r="H11" s="21">
        <v>289315647</v>
      </c>
    </row>
    <row r="12" spans="1:8" s="57" customFormat="1" ht="30" customHeight="1">
      <c r="A12" s="181"/>
      <c r="B12" s="25" t="s">
        <v>13</v>
      </c>
      <c r="C12" s="28">
        <v>793</v>
      </c>
      <c r="D12" s="29">
        <v>464040</v>
      </c>
      <c r="E12" s="28">
        <v>2564</v>
      </c>
      <c r="F12" s="29">
        <v>17450017</v>
      </c>
      <c r="G12" s="28">
        <v>3357</v>
      </c>
      <c r="H12" s="30">
        <v>17914056</v>
      </c>
    </row>
    <row r="13" spans="1:8" s="1" customFormat="1" ht="30" customHeight="1">
      <c r="A13" s="177" t="s">
        <v>128</v>
      </c>
      <c r="B13" s="22" t="s">
        <v>12</v>
      </c>
      <c r="C13" s="27">
        <v>31015</v>
      </c>
      <c r="D13" s="20">
        <v>16058452</v>
      </c>
      <c r="E13" s="27">
        <v>45371</v>
      </c>
      <c r="F13" s="20">
        <v>279162591</v>
      </c>
      <c r="G13" s="27">
        <v>76386</v>
      </c>
      <c r="H13" s="21">
        <v>295221042</v>
      </c>
    </row>
    <row r="14" spans="1:8" s="1" customFormat="1" ht="30" customHeight="1" thickBot="1">
      <c r="A14" s="178"/>
      <c r="B14" s="31" t="s">
        <v>13</v>
      </c>
      <c r="C14" s="144">
        <v>727</v>
      </c>
      <c r="D14" s="145">
        <v>462986</v>
      </c>
      <c r="E14" s="144">
        <v>2607</v>
      </c>
      <c r="F14" s="145">
        <v>18831568</v>
      </c>
      <c r="G14" s="144">
        <v>3334</v>
      </c>
      <c r="H14" s="146">
        <v>19294554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114</v>
      </c>
    </row>
    <row r="2" spans="1:4" s="4" customFormat="1" ht="19.5" customHeight="1">
      <c r="A2" s="11" t="s">
        <v>8</v>
      </c>
      <c r="B2" s="12" t="s">
        <v>9</v>
      </c>
      <c r="C2" s="13" t="s">
        <v>10</v>
      </c>
      <c r="D2" s="60" t="s">
        <v>115</v>
      </c>
    </row>
    <row r="3" spans="1:4" s="10" customFormat="1" ht="15" customHeight="1">
      <c r="A3" s="49" t="s">
        <v>4</v>
      </c>
      <c r="B3" s="50" t="s">
        <v>4</v>
      </c>
      <c r="C3" s="51" t="s">
        <v>4</v>
      </c>
      <c r="D3" s="52" t="s">
        <v>4</v>
      </c>
    </row>
    <row r="4" spans="1:9" s="4" customFormat="1" ht="30" customHeight="1" thickBot="1">
      <c r="A4" s="147">
        <v>76537</v>
      </c>
      <c r="B4" s="148">
        <v>2156</v>
      </c>
      <c r="C4" s="149">
        <v>210</v>
      </c>
      <c r="D4" s="150">
        <v>78903</v>
      </c>
      <c r="E4" s="5"/>
      <c r="G4" s="5"/>
      <c r="I4" s="5"/>
    </row>
    <row r="5" spans="1:4" s="4" customFormat="1" ht="15" customHeight="1">
      <c r="A5" s="182" t="s">
        <v>129</v>
      </c>
      <c r="B5" s="182"/>
      <c r="C5" s="182"/>
      <c r="D5" s="182"/>
    </row>
    <row r="6" spans="1:4" s="4" customFormat="1" ht="15" customHeight="1">
      <c r="A6" s="183" t="s">
        <v>11</v>
      </c>
      <c r="B6" s="183"/>
      <c r="C6" s="183"/>
      <c r="D6" s="18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(H28)</oddFooter>
  </headerFooter>
</worksheet>
</file>

<file path=xl/worksheets/sheet4.xml><?xml version="1.0" encoding="utf-8"?>
<worksheet xmlns="http://schemas.openxmlformats.org/spreadsheetml/2006/main" xmlns:r="http://schemas.openxmlformats.org/officeDocument/2006/relationships">
  <dimension ref="A1:N29"/>
  <sheetViews>
    <sheetView zoomScaleSheetLayoutView="100" workbookViewId="0" topLeftCell="A1">
      <selection activeCell="A1" sqref="A1"/>
    </sheetView>
  </sheetViews>
  <sheetFormatPr defaultColWidth="9.00390625" defaultRowHeight="13.5"/>
  <cols>
    <col min="1" max="1" width="11.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131</v>
      </c>
      <c r="B1" s="61"/>
      <c r="C1" s="61"/>
      <c r="D1" s="61"/>
      <c r="E1" s="61"/>
      <c r="F1" s="61"/>
      <c r="G1" s="61"/>
      <c r="H1" s="61"/>
      <c r="I1" s="61"/>
      <c r="J1" s="61"/>
      <c r="K1" s="61"/>
      <c r="L1" s="62"/>
      <c r="M1" s="62"/>
      <c r="N1" s="112"/>
    </row>
    <row r="2" spans="1:14" ht="14.25" thickBot="1">
      <c r="A2" s="184" t="s">
        <v>30</v>
      </c>
      <c r="B2" s="184"/>
      <c r="C2" s="184"/>
      <c r="D2" s="184"/>
      <c r="E2" s="184"/>
      <c r="F2" s="184"/>
      <c r="G2" s="184"/>
      <c r="H2" s="62"/>
      <c r="I2" s="62"/>
      <c r="J2" s="62"/>
      <c r="K2" s="62"/>
      <c r="L2" s="62"/>
      <c r="M2" s="62"/>
      <c r="N2" s="62"/>
    </row>
    <row r="3" spans="1:14" ht="13.5">
      <c r="A3" s="185" t="s">
        <v>105</v>
      </c>
      <c r="B3" s="188" t="s">
        <v>106</v>
      </c>
      <c r="C3" s="188"/>
      <c r="D3" s="188"/>
      <c r="E3" s="188"/>
      <c r="F3" s="188"/>
      <c r="G3" s="188"/>
      <c r="H3" s="189" t="s">
        <v>13</v>
      </c>
      <c r="I3" s="190"/>
      <c r="J3" s="193" t="s">
        <v>33</v>
      </c>
      <c r="K3" s="190"/>
      <c r="L3" s="189" t="s">
        <v>34</v>
      </c>
      <c r="M3" s="190"/>
      <c r="N3" s="194" t="s">
        <v>35</v>
      </c>
    </row>
    <row r="4" spans="1:14" ht="13.5">
      <c r="A4" s="186"/>
      <c r="B4" s="197" t="s">
        <v>107</v>
      </c>
      <c r="C4" s="197"/>
      <c r="D4" s="191" t="s">
        <v>36</v>
      </c>
      <c r="E4" s="198"/>
      <c r="F4" s="191" t="s">
        <v>37</v>
      </c>
      <c r="G4" s="198"/>
      <c r="H4" s="191"/>
      <c r="I4" s="192"/>
      <c r="J4" s="191"/>
      <c r="K4" s="192"/>
      <c r="L4" s="191"/>
      <c r="M4" s="192"/>
      <c r="N4" s="195"/>
    </row>
    <row r="5" spans="1:14" ht="22.5">
      <c r="A5" s="187"/>
      <c r="B5" s="63" t="s">
        <v>108</v>
      </c>
      <c r="C5" s="64" t="s">
        <v>109</v>
      </c>
      <c r="D5" s="63" t="s">
        <v>108</v>
      </c>
      <c r="E5" s="64" t="s">
        <v>109</v>
      </c>
      <c r="F5" s="63" t="s">
        <v>108</v>
      </c>
      <c r="G5" s="65" t="s">
        <v>110</v>
      </c>
      <c r="H5" s="63" t="s">
        <v>108</v>
      </c>
      <c r="I5" s="66" t="s">
        <v>111</v>
      </c>
      <c r="J5" s="63" t="s">
        <v>108</v>
      </c>
      <c r="K5" s="66" t="s">
        <v>112</v>
      </c>
      <c r="L5" s="63" t="s">
        <v>108</v>
      </c>
      <c r="M5" s="67" t="s">
        <v>113</v>
      </c>
      <c r="N5" s="196"/>
    </row>
    <row r="6" spans="1:14" ht="13.5">
      <c r="A6" s="68"/>
      <c r="B6" s="69" t="s">
        <v>4</v>
      </c>
      <c r="C6" s="70" t="s">
        <v>5</v>
      </c>
      <c r="D6" s="69" t="s">
        <v>4</v>
      </c>
      <c r="E6" s="70" t="s">
        <v>5</v>
      </c>
      <c r="F6" s="69" t="s">
        <v>4</v>
      </c>
      <c r="G6" s="70" t="s">
        <v>5</v>
      </c>
      <c r="H6" s="69" t="s">
        <v>4</v>
      </c>
      <c r="I6" s="71" t="s">
        <v>5</v>
      </c>
      <c r="J6" s="69" t="s">
        <v>4</v>
      </c>
      <c r="K6" s="71" t="s">
        <v>5</v>
      </c>
      <c r="L6" s="69" t="s">
        <v>130</v>
      </c>
      <c r="M6" s="71" t="s">
        <v>5</v>
      </c>
      <c r="N6" s="72"/>
    </row>
    <row r="7" spans="1:14" ht="13.5">
      <c r="A7" s="73" t="s">
        <v>44</v>
      </c>
      <c r="B7" s="113">
        <f>_xlfn.COMPOUNDVALUE(1)</f>
        <v>1516</v>
      </c>
      <c r="C7" s="114">
        <v>1183473</v>
      </c>
      <c r="D7" s="113">
        <f>_xlfn.COMPOUNDVALUE(2)</f>
        <v>2393</v>
      </c>
      <c r="E7" s="114">
        <v>1010673</v>
      </c>
      <c r="F7" s="113">
        <f>_xlfn.COMPOUNDVALUE(3)</f>
        <v>3909</v>
      </c>
      <c r="G7" s="114">
        <v>2194146</v>
      </c>
      <c r="H7" s="113">
        <f>_xlfn.COMPOUNDVALUE(4)</f>
        <v>95</v>
      </c>
      <c r="I7" s="115">
        <v>88415</v>
      </c>
      <c r="J7" s="113">
        <v>238</v>
      </c>
      <c r="K7" s="115">
        <v>55754</v>
      </c>
      <c r="L7" s="113">
        <v>4080</v>
      </c>
      <c r="M7" s="115">
        <v>2161485</v>
      </c>
      <c r="N7" s="92" t="s">
        <v>45</v>
      </c>
    </row>
    <row r="8" spans="1:14" ht="13.5">
      <c r="A8" s="75" t="s">
        <v>46</v>
      </c>
      <c r="B8" s="118">
        <f>_xlfn.COMPOUNDVALUE(5)</f>
        <v>1293</v>
      </c>
      <c r="C8" s="119">
        <v>968088</v>
      </c>
      <c r="D8" s="118">
        <f>_xlfn.COMPOUNDVALUE(6)</f>
        <v>1828</v>
      </c>
      <c r="E8" s="119">
        <v>713569</v>
      </c>
      <c r="F8" s="118">
        <f>_xlfn.COMPOUNDVALUE(7)</f>
        <v>3121</v>
      </c>
      <c r="G8" s="119">
        <v>1681657</v>
      </c>
      <c r="H8" s="118">
        <f>_xlfn.COMPOUNDVALUE(8)</f>
        <v>62</v>
      </c>
      <c r="I8" s="120">
        <v>39504</v>
      </c>
      <c r="J8" s="118">
        <v>264</v>
      </c>
      <c r="K8" s="120">
        <v>31198</v>
      </c>
      <c r="L8" s="118">
        <v>3228</v>
      </c>
      <c r="M8" s="120">
        <v>1673351</v>
      </c>
      <c r="N8" s="76" t="s">
        <v>47</v>
      </c>
    </row>
    <row r="9" spans="1:14" ht="13.5">
      <c r="A9" s="75" t="s">
        <v>48</v>
      </c>
      <c r="B9" s="118">
        <f>_xlfn.COMPOUNDVALUE(9)</f>
        <v>795</v>
      </c>
      <c r="C9" s="119">
        <v>530505</v>
      </c>
      <c r="D9" s="118">
        <f>_xlfn.COMPOUNDVALUE(10)</f>
        <v>1292</v>
      </c>
      <c r="E9" s="119">
        <v>499502</v>
      </c>
      <c r="F9" s="118">
        <f>_xlfn.COMPOUNDVALUE(11)</f>
        <v>2087</v>
      </c>
      <c r="G9" s="119">
        <v>1030007</v>
      </c>
      <c r="H9" s="118">
        <f>_xlfn.COMPOUNDVALUE(12)</f>
        <v>50</v>
      </c>
      <c r="I9" s="120">
        <v>57675</v>
      </c>
      <c r="J9" s="118">
        <v>134</v>
      </c>
      <c r="K9" s="120">
        <v>15338</v>
      </c>
      <c r="L9" s="118">
        <v>2164</v>
      </c>
      <c r="M9" s="120">
        <v>987669</v>
      </c>
      <c r="N9" s="76" t="s">
        <v>49</v>
      </c>
    </row>
    <row r="10" spans="1:14" ht="13.5">
      <c r="A10" s="75" t="s">
        <v>50</v>
      </c>
      <c r="B10" s="118">
        <f>_xlfn.COMPOUNDVALUE(13)</f>
        <v>528</v>
      </c>
      <c r="C10" s="119">
        <v>343696</v>
      </c>
      <c r="D10" s="118">
        <f>_xlfn.COMPOUNDVALUE(14)</f>
        <v>891</v>
      </c>
      <c r="E10" s="119">
        <v>327452</v>
      </c>
      <c r="F10" s="118">
        <f>_xlfn.COMPOUNDVALUE(15)</f>
        <v>1419</v>
      </c>
      <c r="G10" s="119">
        <v>671148</v>
      </c>
      <c r="H10" s="118">
        <f>_xlfn.COMPOUNDVALUE(16)</f>
        <v>30</v>
      </c>
      <c r="I10" s="120">
        <v>17459</v>
      </c>
      <c r="J10" s="118">
        <v>66</v>
      </c>
      <c r="K10" s="120">
        <v>13411</v>
      </c>
      <c r="L10" s="118">
        <v>1464</v>
      </c>
      <c r="M10" s="120">
        <v>667100</v>
      </c>
      <c r="N10" s="76" t="s">
        <v>51</v>
      </c>
    </row>
    <row r="11" spans="1:14" ht="13.5">
      <c r="A11" s="77" t="s">
        <v>52</v>
      </c>
      <c r="B11" s="121">
        <v>4132</v>
      </c>
      <c r="C11" s="122">
        <v>3025763</v>
      </c>
      <c r="D11" s="121">
        <v>6404</v>
      </c>
      <c r="E11" s="122">
        <v>2551195</v>
      </c>
      <c r="F11" s="121">
        <v>10536</v>
      </c>
      <c r="G11" s="122">
        <v>5576957</v>
      </c>
      <c r="H11" s="121">
        <v>237</v>
      </c>
      <c r="I11" s="123">
        <v>203054</v>
      </c>
      <c r="J11" s="121">
        <v>702</v>
      </c>
      <c r="K11" s="123">
        <v>115701</v>
      </c>
      <c r="L11" s="121">
        <v>10936</v>
      </c>
      <c r="M11" s="123">
        <v>5489605</v>
      </c>
      <c r="N11" s="78" t="s">
        <v>53</v>
      </c>
    </row>
    <row r="12" spans="1:14" ht="13.5">
      <c r="A12" s="79"/>
      <c r="B12" s="126"/>
      <c r="C12" s="127"/>
      <c r="D12" s="126"/>
      <c r="E12" s="127"/>
      <c r="F12" s="128"/>
      <c r="G12" s="127"/>
      <c r="H12" s="128"/>
      <c r="I12" s="127"/>
      <c r="J12" s="128"/>
      <c r="K12" s="127"/>
      <c r="L12" s="128"/>
      <c r="M12" s="127"/>
      <c r="N12" s="80"/>
    </row>
    <row r="13" spans="1:14" ht="13.5">
      <c r="A13" s="73" t="s">
        <v>54</v>
      </c>
      <c r="B13" s="113">
        <f>_xlfn.COMPOUNDVALUE(17)</f>
        <v>2272</v>
      </c>
      <c r="C13" s="114">
        <v>1544430</v>
      </c>
      <c r="D13" s="113">
        <f>_xlfn.COMPOUNDVALUE(18)</f>
        <v>3240</v>
      </c>
      <c r="E13" s="114">
        <v>1371270</v>
      </c>
      <c r="F13" s="113">
        <f>_xlfn.COMPOUNDVALUE(19)</f>
        <v>5512</v>
      </c>
      <c r="G13" s="114">
        <v>2915700</v>
      </c>
      <c r="H13" s="113">
        <f>_xlfn.COMPOUNDVALUE(20)</f>
        <v>123</v>
      </c>
      <c r="I13" s="115">
        <v>76117</v>
      </c>
      <c r="J13" s="113">
        <v>286</v>
      </c>
      <c r="K13" s="115">
        <v>68135</v>
      </c>
      <c r="L13" s="113">
        <v>5751</v>
      </c>
      <c r="M13" s="115">
        <v>2907718</v>
      </c>
      <c r="N13" s="74" t="s">
        <v>54</v>
      </c>
    </row>
    <row r="14" spans="1:14" ht="13.5">
      <c r="A14" s="75" t="s">
        <v>55</v>
      </c>
      <c r="B14" s="118">
        <f>_xlfn.COMPOUNDVALUE(21)</f>
        <v>479</v>
      </c>
      <c r="C14" s="119">
        <v>300960</v>
      </c>
      <c r="D14" s="118">
        <f>_xlfn.COMPOUNDVALUE(22)</f>
        <v>835</v>
      </c>
      <c r="E14" s="119">
        <v>309525</v>
      </c>
      <c r="F14" s="118">
        <f>_xlfn.COMPOUNDVALUE(23)</f>
        <v>1314</v>
      </c>
      <c r="G14" s="119">
        <v>610485</v>
      </c>
      <c r="H14" s="118">
        <f>_xlfn.COMPOUNDVALUE(24)</f>
        <v>28</v>
      </c>
      <c r="I14" s="120">
        <v>16092</v>
      </c>
      <c r="J14" s="118">
        <v>75</v>
      </c>
      <c r="K14" s="120">
        <v>6374</v>
      </c>
      <c r="L14" s="118">
        <v>1355</v>
      </c>
      <c r="M14" s="120">
        <v>600767</v>
      </c>
      <c r="N14" s="76" t="s">
        <v>55</v>
      </c>
    </row>
    <row r="15" spans="1:14" ht="13.5">
      <c r="A15" s="75" t="s">
        <v>56</v>
      </c>
      <c r="B15" s="118">
        <f>_xlfn.COMPOUNDVALUE(25)</f>
        <v>946</v>
      </c>
      <c r="C15" s="119">
        <v>948026</v>
      </c>
      <c r="D15" s="118">
        <f>_xlfn.COMPOUNDVALUE(26)</f>
        <v>1611</v>
      </c>
      <c r="E15" s="119">
        <v>630524</v>
      </c>
      <c r="F15" s="118">
        <f>_xlfn.COMPOUNDVALUE(27)</f>
        <v>2557</v>
      </c>
      <c r="G15" s="119">
        <v>1578550</v>
      </c>
      <c r="H15" s="118">
        <f>_xlfn.COMPOUNDVALUE(28)</f>
        <v>52</v>
      </c>
      <c r="I15" s="120">
        <v>33026</v>
      </c>
      <c r="J15" s="118">
        <v>208</v>
      </c>
      <c r="K15" s="120">
        <v>54311</v>
      </c>
      <c r="L15" s="118">
        <v>2681</v>
      </c>
      <c r="M15" s="120">
        <v>1599835</v>
      </c>
      <c r="N15" s="76" t="s">
        <v>56</v>
      </c>
    </row>
    <row r="16" spans="1:14" ht="13.5">
      <c r="A16" s="75" t="s">
        <v>57</v>
      </c>
      <c r="B16" s="118">
        <f>_xlfn.COMPOUNDVALUE(29)</f>
        <v>321</v>
      </c>
      <c r="C16" s="119">
        <v>249688</v>
      </c>
      <c r="D16" s="118">
        <f>_xlfn.COMPOUNDVALUE(30)</f>
        <v>656</v>
      </c>
      <c r="E16" s="119">
        <v>225618</v>
      </c>
      <c r="F16" s="118">
        <f>_xlfn.COMPOUNDVALUE(31)</f>
        <v>977</v>
      </c>
      <c r="G16" s="119">
        <v>475306</v>
      </c>
      <c r="H16" s="118">
        <f>_xlfn.COMPOUNDVALUE(32)</f>
        <v>12</v>
      </c>
      <c r="I16" s="120">
        <v>3838</v>
      </c>
      <c r="J16" s="118">
        <v>82</v>
      </c>
      <c r="K16" s="120">
        <v>6853</v>
      </c>
      <c r="L16" s="118">
        <v>1003</v>
      </c>
      <c r="M16" s="120">
        <v>478321</v>
      </c>
      <c r="N16" s="76" t="s">
        <v>57</v>
      </c>
    </row>
    <row r="17" spans="1:14" ht="13.5">
      <c r="A17" s="75" t="s">
        <v>58</v>
      </c>
      <c r="B17" s="118">
        <f>_xlfn.COMPOUNDVALUE(33)</f>
        <v>615</v>
      </c>
      <c r="C17" s="119">
        <v>365832</v>
      </c>
      <c r="D17" s="118">
        <f>_xlfn.COMPOUNDVALUE(34)</f>
        <v>904</v>
      </c>
      <c r="E17" s="119">
        <v>347552</v>
      </c>
      <c r="F17" s="118">
        <f>_xlfn.COMPOUNDVALUE(35)</f>
        <v>1519</v>
      </c>
      <c r="G17" s="119">
        <v>713384</v>
      </c>
      <c r="H17" s="118">
        <f>_xlfn.COMPOUNDVALUE(36)</f>
        <v>33</v>
      </c>
      <c r="I17" s="120">
        <v>17179</v>
      </c>
      <c r="J17" s="118">
        <v>93</v>
      </c>
      <c r="K17" s="120">
        <v>14102</v>
      </c>
      <c r="L17" s="118">
        <v>1582</v>
      </c>
      <c r="M17" s="120">
        <v>710307</v>
      </c>
      <c r="N17" s="76" t="s">
        <v>58</v>
      </c>
    </row>
    <row r="18" spans="1:14" ht="13.5">
      <c r="A18" s="77" t="s">
        <v>59</v>
      </c>
      <c r="B18" s="121">
        <v>4633</v>
      </c>
      <c r="C18" s="122">
        <v>3408936</v>
      </c>
      <c r="D18" s="121">
        <v>7246</v>
      </c>
      <c r="E18" s="122">
        <v>2884489</v>
      </c>
      <c r="F18" s="121">
        <v>11879</v>
      </c>
      <c r="G18" s="122">
        <v>6293425</v>
      </c>
      <c r="H18" s="121">
        <v>248</v>
      </c>
      <c r="I18" s="123">
        <v>146253</v>
      </c>
      <c r="J18" s="121">
        <v>744</v>
      </c>
      <c r="K18" s="123">
        <v>149775</v>
      </c>
      <c r="L18" s="121">
        <v>12372</v>
      </c>
      <c r="M18" s="123">
        <v>6296947</v>
      </c>
      <c r="N18" s="78" t="s">
        <v>59</v>
      </c>
    </row>
    <row r="19" spans="1:14" ht="13.5">
      <c r="A19" s="79"/>
      <c r="B19" s="126"/>
      <c r="C19" s="127"/>
      <c r="D19" s="126"/>
      <c r="E19" s="127"/>
      <c r="F19" s="128"/>
      <c r="G19" s="127"/>
      <c r="H19" s="128"/>
      <c r="I19" s="127"/>
      <c r="J19" s="128"/>
      <c r="K19" s="127"/>
      <c r="L19" s="128"/>
      <c r="M19" s="127"/>
      <c r="N19" s="80"/>
    </row>
    <row r="20" spans="1:14" ht="13.5">
      <c r="A20" s="73" t="s">
        <v>60</v>
      </c>
      <c r="B20" s="113">
        <f>_xlfn.COMPOUNDVALUE(37)</f>
        <v>1394</v>
      </c>
      <c r="C20" s="114">
        <v>861515</v>
      </c>
      <c r="D20" s="113">
        <f>_xlfn.COMPOUNDVALUE(38)</f>
        <v>1765</v>
      </c>
      <c r="E20" s="114">
        <v>723823</v>
      </c>
      <c r="F20" s="113">
        <f>_xlfn.COMPOUNDVALUE(39)</f>
        <v>3159</v>
      </c>
      <c r="G20" s="114">
        <v>1585338</v>
      </c>
      <c r="H20" s="113">
        <f>_xlfn.COMPOUNDVALUE(40)</f>
        <v>90</v>
      </c>
      <c r="I20" s="115">
        <v>50829</v>
      </c>
      <c r="J20" s="113">
        <v>208</v>
      </c>
      <c r="K20" s="115">
        <v>30210</v>
      </c>
      <c r="L20" s="113">
        <v>3301</v>
      </c>
      <c r="M20" s="115">
        <v>1564719</v>
      </c>
      <c r="N20" s="74" t="s">
        <v>61</v>
      </c>
    </row>
    <row r="21" spans="1:14" ht="13.5">
      <c r="A21" s="75" t="s">
        <v>62</v>
      </c>
      <c r="B21" s="118">
        <f>_xlfn.COMPOUNDVALUE(41)</f>
        <v>325</v>
      </c>
      <c r="C21" s="119">
        <v>195898</v>
      </c>
      <c r="D21" s="118">
        <f>_xlfn.COMPOUNDVALUE(42)</f>
        <v>562</v>
      </c>
      <c r="E21" s="119">
        <v>212555</v>
      </c>
      <c r="F21" s="118">
        <f>_xlfn.COMPOUNDVALUE(43)</f>
        <v>887</v>
      </c>
      <c r="G21" s="119">
        <v>408452</v>
      </c>
      <c r="H21" s="118">
        <f>_xlfn.COMPOUNDVALUE(44)</f>
        <v>20</v>
      </c>
      <c r="I21" s="120">
        <v>2507</v>
      </c>
      <c r="J21" s="118">
        <v>61</v>
      </c>
      <c r="K21" s="120">
        <v>11049</v>
      </c>
      <c r="L21" s="118">
        <v>937</v>
      </c>
      <c r="M21" s="120">
        <v>416993</v>
      </c>
      <c r="N21" s="76" t="s">
        <v>63</v>
      </c>
    </row>
    <row r="22" spans="1:14" ht="13.5">
      <c r="A22" s="75" t="s">
        <v>64</v>
      </c>
      <c r="B22" s="118">
        <f>_xlfn.COMPOUNDVALUE(45)</f>
        <v>936</v>
      </c>
      <c r="C22" s="119">
        <v>632127</v>
      </c>
      <c r="D22" s="118">
        <f>_xlfn.COMPOUNDVALUE(46)</f>
        <v>1212</v>
      </c>
      <c r="E22" s="119">
        <v>476137</v>
      </c>
      <c r="F22" s="118">
        <f>_xlfn.COMPOUNDVALUE(47)</f>
        <v>2148</v>
      </c>
      <c r="G22" s="119">
        <v>1108264</v>
      </c>
      <c r="H22" s="118">
        <f>_xlfn.COMPOUNDVALUE(48)</f>
        <v>75</v>
      </c>
      <c r="I22" s="120">
        <v>39340</v>
      </c>
      <c r="J22" s="118">
        <v>171</v>
      </c>
      <c r="K22" s="120">
        <v>20815</v>
      </c>
      <c r="L22" s="118">
        <v>2265</v>
      </c>
      <c r="M22" s="120">
        <v>1089740</v>
      </c>
      <c r="N22" s="76" t="s">
        <v>65</v>
      </c>
    </row>
    <row r="23" spans="1:14" ht="13.5">
      <c r="A23" s="75" t="s">
        <v>66</v>
      </c>
      <c r="B23" s="118">
        <f>_xlfn.COMPOUNDVALUE(49)</f>
        <v>249</v>
      </c>
      <c r="C23" s="119">
        <v>119941</v>
      </c>
      <c r="D23" s="118">
        <f>_xlfn.COMPOUNDVALUE(50)</f>
        <v>333</v>
      </c>
      <c r="E23" s="119">
        <v>123626</v>
      </c>
      <c r="F23" s="118">
        <f>_xlfn.COMPOUNDVALUE(51)</f>
        <v>582</v>
      </c>
      <c r="G23" s="119">
        <v>243566</v>
      </c>
      <c r="H23" s="118">
        <f>_xlfn.COMPOUNDVALUE(52)</f>
        <v>15</v>
      </c>
      <c r="I23" s="120">
        <v>2073</v>
      </c>
      <c r="J23" s="118">
        <v>56</v>
      </c>
      <c r="K23" s="120">
        <v>6669</v>
      </c>
      <c r="L23" s="118">
        <v>599</v>
      </c>
      <c r="M23" s="120">
        <v>248162</v>
      </c>
      <c r="N23" s="76" t="s">
        <v>67</v>
      </c>
    </row>
    <row r="24" spans="1:14" ht="13.5">
      <c r="A24" s="75" t="s">
        <v>68</v>
      </c>
      <c r="B24" s="118">
        <f>_xlfn.COMPOUNDVALUE(53)</f>
        <v>272</v>
      </c>
      <c r="C24" s="119">
        <v>147628</v>
      </c>
      <c r="D24" s="118">
        <f>_xlfn.COMPOUNDVALUE(54)</f>
        <v>385</v>
      </c>
      <c r="E24" s="119">
        <v>149314</v>
      </c>
      <c r="F24" s="118">
        <f>_xlfn.COMPOUNDVALUE(55)</f>
        <v>657</v>
      </c>
      <c r="G24" s="119">
        <v>296942</v>
      </c>
      <c r="H24" s="118">
        <f>_xlfn.COMPOUNDVALUE(56)</f>
        <v>9</v>
      </c>
      <c r="I24" s="120">
        <v>3932</v>
      </c>
      <c r="J24" s="118">
        <v>67</v>
      </c>
      <c r="K24" s="120">
        <v>7473</v>
      </c>
      <c r="L24" s="118">
        <v>673</v>
      </c>
      <c r="M24" s="120">
        <v>300482</v>
      </c>
      <c r="N24" s="76" t="s">
        <v>69</v>
      </c>
    </row>
    <row r="25" spans="1:14" ht="13.5">
      <c r="A25" s="75" t="s">
        <v>70</v>
      </c>
      <c r="B25" s="118">
        <f>_xlfn.COMPOUNDVALUE(57)</f>
        <v>521</v>
      </c>
      <c r="C25" s="119">
        <v>281894</v>
      </c>
      <c r="D25" s="118">
        <f>_xlfn.COMPOUNDVALUE(58)</f>
        <v>646</v>
      </c>
      <c r="E25" s="119">
        <v>263613</v>
      </c>
      <c r="F25" s="118">
        <f>_xlfn.COMPOUNDVALUE(59)</f>
        <v>1167</v>
      </c>
      <c r="G25" s="119">
        <v>545507</v>
      </c>
      <c r="H25" s="118">
        <f>_xlfn.COMPOUNDVALUE(60)</f>
        <v>33</v>
      </c>
      <c r="I25" s="120">
        <v>14998</v>
      </c>
      <c r="J25" s="118">
        <v>73</v>
      </c>
      <c r="K25" s="120">
        <v>13697</v>
      </c>
      <c r="L25" s="118">
        <v>1222</v>
      </c>
      <c r="M25" s="120">
        <v>544205</v>
      </c>
      <c r="N25" s="76" t="s">
        <v>71</v>
      </c>
    </row>
    <row r="26" spans="1:14" ht="13.5">
      <c r="A26" s="77" t="s">
        <v>72</v>
      </c>
      <c r="B26" s="121">
        <v>3697</v>
      </c>
      <c r="C26" s="122">
        <v>2239003</v>
      </c>
      <c r="D26" s="121">
        <v>4903</v>
      </c>
      <c r="E26" s="122">
        <v>1949067</v>
      </c>
      <c r="F26" s="121">
        <v>8600</v>
      </c>
      <c r="G26" s="122">
        <v>4188070</v>
      </c>
      <c r="H26" s="121">
        <v>242</v>
      </c>
      <c r="I26" s="123">
        <v>113679</v>
      </c>
      <c r="J26" s="121">
        <v>636</v>
      </c>
      <c r="K26" s="123">
        <v>89911</v>
      </c>
      <c r="L26" s="121">
        <v>8997</v>
      </c>
      <c r="M26" s="123">
        <v>4164302</v>
      </c>
      <c r="N26" s="78" t="s">
        <v>73</v>
      </c>
    </row>
    <row r="27" spans="1:14" ht="14.25" thickBot="1">
      <c r="A27" s="81"/>
      <c r="B27" s="132"/>
      <c r="C27" s="133"/>
      <c r="D27" s="132"/>
      <c r="E27" s="133"/>
      <c r="F27" s="134"/>
      <c r="G27" s="133"/>
      <c r="H27" s="134"/>
      <c r="I27" s="133"/>
      <c r="J27" s="134"/>
      <c r="K27" s="133"/>
      <c r="L27" s="134"/>
      <c r="M27" s="133"/>
      <c r="N27" s="82"/>
    </row>
    <row r="28" spans="1:14" ht="15" thickBot="1" thickTop="1">
      <c r="A28" s="83" t="s">
        <v>74</v>
      </c>
      <c r="B28" s="138">
        <v>12462</v>
      </c>
      <c r="C28" s="139">
        <v>8673701</v>
      </c>
      <c r="D28" s="138">
        <v>18553</v>
      </c>
      <c r="E28" s="139">
        <v>7384751</v>
      </c>
      <c r="F28" s="138">
        <v>31015</v>
      </c>
      <c r="G28" s="139">
        <v>16058452</v>
      </c>
      <c r="H28" s="138">
        <v>727</v>
      </c>
      <c r="I28" s="140">
        <v>462986</v>
      </c>
      <c r="J28" s="138">
        <v>2082</v>
      </c>
      <c r="K28" s="140">
        <v>355388</v>
      </c>
      <c r="L28" s="138">
        <v>32305</v>
      </c>
      <c r="M28" s="140">
        <v>15950853</v>
      </c>
      <c r="N28" s="84" t="s">
        <v>75</v>
      </c>
    </row>
    <row r="29" spans="1:14" ht="13.5">
      <c r="A29" s="199" t="s">
        <v>123</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G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&amp;R金沢国税局
消費税
(H28)</oddFooter>
  </headerFooter>
</worksheet>
</file>

<file path=xl/worksheets/sheet5.xml><?xml version="1.0" encoding="utf-8"?>
<worksheet xmlns="http://schemas.openxmlformats.org/spreadsheetml/2006/main" xmlns:r="http://schemas.openxmlformats.org/officeDocument/2006/relationships">
  <dimension ref="A1:N29"/>
  <sheetViews>
    <sheetView zoomScaleSheetLayoutView="100" workbookViewId="0" topLeftCell="A1">
      <selection activeCell="A1" sqref="A1"/>
    </sheetView>
  </sheetViews>
  <sheetFormatPr defaultColWidth="9.00390625" defaultRowHeight="13.5"/>
  <cols>
    <col min="1" max="1" width="11.12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132</v>
      </c>
      <c r="B1" s="61"/>
      <c r="C1" s="61"/>
      <c r="D1" s="61"/>
      <c r="E1" s="61"/>
      <c r="F1" s="61"/>
      <c r="G1" s="61"/>
      <c r="H1" s="61"/>
      <c r="I1" s="61"/>
      <c r="J1" s="61"/>
      <c r="K1" s="61"/>
      <c r="L1" s="62"/>
      <c r="M1" s="62"/>
      <c r="N1" s="112"/>
    </row>
    <row r="2" spans="1:14" ht="14.25" thickBot="1">
      <c r="A2" s="200" t="s">
        <v>76</v>
      </c>
      <c r="B2" s="200"/>
      <c r="C2" s="200"/>
      <c r="D2" s="200"/>
      <c r="E2" s="200"/>
      <c r="F2" s="200"/>
      <c r="G2" s="200"/>
      <c r="H2" s="200"/>
      <c r="I2" s="200"/>
      <c r="J2" s="85"/>
      <c r="K2" s="85"/>
      <c r="L2" s="62"/>
      <c r="M2" s="62"/>
      <c r="N2" s="112"/>
    </row>
    <row r="3" spans="1:14" ht="13.5">
      <c r="A3" s="185" t="s">
        <v>31</v>
      </c>
      <c r="B3" s="188" t="s">
        <v>32</v>
      </c>
      <c r="C3" s="188"/>
      <c r="D3" s="188"/>
      <c r="E3" s="188"/>
      <c r="F3" s="188"/>
      <c r="G3" s="188"/>
      <c r="H3" s="189" t="s">
        <v>13</v>
      </c>
      <c r="I3" s="190"/>
      <c r="J3" s="193" t="s">
        <v>33</v>
      </c>
      <c r="K3" s="190"/>
      <c r="L3" s="189" t="s">
        <v>34</v>
      </c>
      <c r="M3" s="190"/>
      <c r="N3" s="194" t="s">
        <v>77</v>
      </c>
    </row>
    <row r="4" spans="1:14" ht="13.5">
      <c r="A4" s="186"/>
      <c r="B4" s="191" t="s">
        <v>18</v>
      </c>
      <c r="C4" s="198"/>
      <c r="D4" s="191" t="s">
        <v>36</v>
      </c>
      <c r="E4" s="198"/>
      <c r="F4" s="191" t="s">
        <v>37</v>
      </c>
      <c r="G4" s="198"/>
      <c r="H4" s="191"/>
      <c r="I4" s="192"/>
      <c r="J4" s="191"/>
      <c r="K4" s="192"/>
      <c r="L4" s="191"/>
      <c r="M4" s="192"/>
      <c r="N4" s="195"/>
    </row>
    <row r="5" spans="1:14" ht="22.5">
      <c r="A5" s="187"/>
      <c r="B5" s="63" t="s">
        <v>38</v>
      </c>
      <c r="C5" s="64" t="s">
        <v>39</v>
      </c>
      <c r="D5" s="63" t="s">
        <v>38</v>
      </c>
      <c r="E5" s="64" t="s">
        <v>39</v>
      </c>
      <c r="F5" s="63" t="s">
        <v>38</v>
      </c>
      <c r="G5" s="65" t="s">
        <v>40</v>
      </c>
      <c r="H5" s="63" t="s">
        <v>38</v>
      </c>
      <c r="I5" s="66" t="s">
        <v>41</v>
      </c>
      <c r="J5" s="63" t="s">
        <v>38</v>
      </c>
      <c r="K5" s="66" t="s">
        <v>42</v>
      </c>
      <c r="L5" s="63" t="s">
        <v>38</v>
      </c>
      <c r="M5" s="67" t="s">
        <v>43</v>
      </c>
      <c r="N5" s="196"/>
    </row>
    <row r="6" spans="1:14" ht="13.5">
      <c r="A6" s="68"/>
      <c r="B6" s="69" t="s">
        <v>4</v>
      </c>
      <c r="C6" s="70" t="s">
        <v>5</v>
      </c>
      <c r="D6" s="69" t="s">
        <v>4</v>
      </c>
      <c r="E6" s="70" t="s">
        <v>5</v>
      </c>
      <c r="F6" s="69" t="s">
        <v>4</v>
      </c>
      <c r="G6" s="70" t="s">
        <v>5</v>
      </c>
      <c r="H6" s="69" t="s">
        <v>4</v>
      </c>
      <c r="I6" s="71" t="s">
        <v>5</v>
      </c>
      <c r="J6" s="69" t="s">
        <v>4</v>
      </c>
      <c r="K6" s="71" t="s">
        <v>5</v>
      </c>
      <c r="L6" s="69" t="s">
        <v>130</v>
      </c>
      <c r="M6" s="71" t="s">
        <v>5</v>
      </c>
      <c r="N6" s="72"/>
    </row>
    <row r="7" spans="1:14" ht="13.5">
      <c r="A7" s="73" t="s">
        <v>78</v>
      </c>
      <c r="B7" s="113">
        <f>_xlfn.COMPOUNDVALUE(61)</f>
        <v>4669</v>
      </c>
      <c r="C7" s="114">
        <v>53133171</v>
      </c>
      <c r="D7" s="113">
        <f>_xlfn.COMPOUNDVALUE(62)</f>
        <v>1685</v>
      </c>
      <c r="E7" s="114">
        <v>1050902</v>
      </c>
      <c r="F7" s="113">
        <f>_xlfn.COMPOUNDVALUE(63)</f>
        <v>6354</v>
      </c>
      <c r="G7" s="114">
        <v>54184074</v>
      </c>
      <c r="H7" s="113">
        <f>_xlfn.COMPOUNDVALUE(64)</f>
        <v>463</v>
      </c>
      <c r="I7" s="115">
        <v>4618031</v>
      </c>
      <c r="J7" s="113">
        <v>310</v>
      </c>
      <c r="K7" s="115">
        <v>40769</v>
      </c>
      <c r="L7" s="113">
        <v>6857</v>
      </c>
      <c r="M7" s="115">
        <v>49606811</v>
      </c>
      <c r="N7" s="92" t="s">
        <v>45</v>
      </c>
    </row>
    <row r="8" spans="1:14" ht="13.5">
      <c r="A8" s="75" t="s">
        <v>79</v>
      </c>
      <c r="B8" s="118">
        <f>_xlfn.COMPOUNDVALUE(65)</f>
        <v>3339</v>
      </c>
      <c r="C8" s="119">
        <v>28846205</v>
      </c>
      <c r="D8" s="118">
        <f>_xlfn.COMPOUNDVALUE(66)</f>
        <v>1141</v>
      </c>
      <c r="E8" s="119">
        <v>662417</v>
      </c>
      <c r="F8" s="118">
        <f>_xlfn.COMPOUNDVALUE(67)</f>
        <v>4480</v>
      </c>
      <c r="G8" s="119">
        <v>29508622</v>
      </c>
      <c r="H8" s="118">
        <f>_xlfn.COMPOUNDVALUE(68)</f>
        <v>481</v>
      </c>
      <c r="I8" s="120">
        <v>2444583</v>
      </c>
      <c r="J8" s="118">
        <v>263</v>
      </c>
      <c r="K8" s="120">
        <v>47718</v>
      </c>
      <c r="L8" s="118">
        <v>4995</v>
      </c>
      <c r="M8" s="120">
        <v>27111757</v>
      </c>
      <c r="N8" s="76" t="s">
        <v>47</v>
      </c>
    </row>
    <row r="9" spans="1:14" ht="13.5">
      <c r="A9" s="75" t="s">
        <v>80</v>
      </c>
      <c r="B9" s="118">
        <f>_xlfn.COMPOUNDVALUE(69)</f>
        <v>1802</v>
      </c>
      <c r="C9" s="119">
        <v>12635846</v>
      </c>
      <c r="D9" s="118">
        <f>_xlfn.COMPOUNDVALUE(70)</f>
        <v>631</v>
      </c>
      <c r="E9" s="119">
        <v>345584</v>
      </c>
      <c r="F9" s="118">
        <f>_xlfn.COMPOUNDVALUE(71)</f>
        <v>2433</v>
      </c>
      <c r="G9" s="119">
        <v>12981429</v>
      </c>
      <c r="H9" s="118">
        <f>_xlfn.COMPOUNDVALUE(72)</f>
        <v>176</v>
      </c>
      <c r="I9" s="120">
        <v>1692400</v>
      </c>
      <c r="J9" s="118">
        <v>96</v>
      </c>
      <c r="K9" s="120">
        <v>19351</v>
      </c>
      <c r="L9" s="118">
        <v>2614</v>
      </c>
      <c r="M9" s="120">
        <v>11308380</v>
      </c>
      <c r="N9" s="76" t="s">
        <v>49</v>
      </c>
    </row>
    <row r="10" spans="1:14" ht="13.5">
      <c r="A10" s="75" t="s">
        <v>81</v>
      </c>
      <c r="B10" s="118">
        <f>_xlfn.COMPOUNDVALUE(73)</f>
        <v>1335</v>
      </c>
      <c r="C10" s="119">
        <v>10898021</v>
      </c>
      <c r="D10" s="118">
        <f>_xlfn.COMPOUNDVALUE(74)</f>
        <v>460</v>
      </c>
      <c r="E10" s="119">
        <v>274068</v>
      </c>
      <c r="F10" s="118">
        <f>_xlfn.COMPOUNDVALUE(75)</f>
        <v>1795</v>
      </c>
      <c r="G10" s="119">
        <v>11172089</v>
      </c>
      <c r="H10" s="118">
        <f>_xlfn.COMPOUNDVALUE(76)</f>
        <v>138</v>
      </c>
      <c r="I10" s="120">
        <v>552609</v>
      </c>
      <c r="J10" s="118">
        <v>93</v>
      </c>
      <c r="K10" s="120">
        <v>16956</v>
      </c>
      <c r="L10" s="118">
        <v>1952</v>
      </c>
      <c r="M10" s="120">
        <v>10636435</v>
      </c>
      <c r="N10" s="76" t="s">
        <v>51</v>
      </c>
    </row>
    <row r="11" spans="1:14" ht="13.5">
      <c r="A11" s="77" t="s">
        <v>82</v>
      </c>
      <c r="B11" s="121">
        <v>11145</v>
      </c>
      <c r="C11" s="122">
        <v>105513243</v>
      </c>
      <c r="D11" s="121">
        <v>3917</v>
      </c>
      <c r="E11" s="122">
        <v>2332971</v>
      </c>
      <c r="F11" s="121">
        <v>15062</v>
      </c>
      <c r="G11" s="122">
        <v>107846214</v>
      </c>
      <c r="H11" s="121">
        <v>1258</v>
      </c>
      <c r="I11" s="123">
        <v>9307624</v>
      </c>
      <c r="J11" s="121">
        <v>762</v>
      </c>
      <c r="K11" s="123">
        <v>124793</v>
      </c>
      <c r="L11" s="121">
        <v>16418</v>
      </c>
      <c r="M11" s="123">
        <v>98663383</v>
      </c>
      <c r="N11" s="78" t="s">
        <v>53</v>
      </c>
    </row>
    <row r="12" spans="1:14" ht="13.5">
      <c r="A12" s="79"/>
      <c r="B12" s="126"/>
      <c r="C12" s="127"/>
      <c r="D12" s="126"/>
      <c r="E12" s="127"/>
      <c r="F12" s="128"/>
      <c r="G12" s="127"/>
      <c r="H12" s="128"/>
      <c r="I12" s="127"/>
      <c r="J12" s="128"/>
      <c r="K12" s="127"/>
      <c r="L12" s="128"/>
      <c r="M12" s="127"/>
      <c r="N12" s="80"/>
    </row>
    <row r="13" spans="1:14" ht="13.5">
      <c r="A13" s="73" t="s">
        <v>54</v>
      </c>
      <c r="B13" s="113">
        <f>_xlfn.COMPOUNDVALUE(77)</f>
        <v>6642</v>
      </c>
      <c r="C13" s="114">
        <v>56841915</v>
      </c>
      <c r="D13" s="113">
        <f>_xlfn.COMPOUNDVALUE(78)</f>
        <v>2595</v>
      </c>
      <c r="E13" s="114">
        <v>1583740</v>
      </c>
      <c r="F13" s="113">
        <f>_xlfn.COMPOUNDVALUE(79)</f>
        <v>9237</v>
      </c>
      <c r="G13" s="114">
        <v>58425655</v>
      </c>
      <c r="H13" s="113">
        <f>_xlfn.COMPOUNDVALUE(80)</f>
        <v>359</v>
      </c>
      <c r="I13" s="115">
        <v>3577658</v>
      </c>
      <c r="J13" s="113">
        <v>475</v>
      </c>
      <c r="K13" s="115">
        <v>93643</v>
      </c>
      <c r="L13" s="113">
        <v>9636</v>
      </c>
      <c r="M13" s="115">
        <v>54941639</v>
      </c>
      <c r="N13" s="74" t="s">
        <v>54</v>
      </c>
    </row>
    <row r="14" spans="1:14" ht="13.5">
      <c r="A14" s="75" t="s">
        <v>55</v>
      </c>
      <c r="B14" s="118">
        <f>_xlfn.COMPOUNDVALUE(81)</f>
        <v>1186</v>
      </c>
      <c r="C14" s="119">
        <v>6925511</v>
      </c>
      <c r="D14" s="118">
        <f>_xlfn.COMPOUNDVALUE(82)</f>
        <v>497</v>
      </c>
      <c r="E14" s="119">
        <v>269357</v>
      </c>
      <c r="F14" s="118">
        <f>_xlfn.COMPOUNDVALUE(83)</f>
        <v>1683</v>
      </c>
      <c r="G14" s="119">
        <v>7194868</v>
      </c>
      <c r="H14" s="118">
        <f>_xlfn.COMPOUNDVALUE(84)</f>
        <v>80</v>
      </c>
      <c r="I14" s="120">
        <v>560046</v>
      </c>
      <c r="J14" s="118">
        <v>105</v>
      </c>
      <c r="K14" s="120">
        <v>8514</v>
      </c>
      <c r="L14" s="118">
        <v>1783</v>
      </c>
      <c r="M14" s="120">
        <v>6643336</v>
      </c>
      <c r="N14" s="76" t="s">
        <v>55</v>
      </c>
    </row>
    <row r="15" spans="1:14" ht="13.5">
      <c r="A15" s="75" t="s">
        <v>56</v>
      </c>
      <c r="B15" s="118">
        <f>_xlfn.COMPOUNDVALUE(85)</f>
        <v>2501</v>
      </c>
      <c r="C15" s="119">
        <v>17527340</v>
      </c>
      <c r="D15" s="118">
        <f>_xlfn.COMPOUNDVALUE(86)</f>
        <v>984</v>
      </c>
      <c r="E15" s="119">
        <v>542795</v>
      </c>
      <c r="F15" s="118">
        <f>_xlfn.COMPOUNDVALUE(87)</f>
        <v>3485</v>
      </c>
      <c r="G15" s="119">
        <v>18070136</v>
      </c>
      <c r="H15" s="118">
        <f>_xlfn.COMPOUNDVALUE(88)</f>
        <v>111</v>
      </c>
      <c r="I15" s="120">
        <v>311987</v>
      </c>
      <c r="J15" s="118">
        <v>159</v>
      </c>
      <c r="K15" s="120">
        <v>1151</v>
      </c>
      <c r="L15" s="118">
        <v>3612</v>
      </c>
      <c r="M15" s="120">
        <v>17759300</v>
      </c>
      <c r="N15" s="76" t="s">
        <v>56</v>
      </c>
    </row>
    <row r="16" spans="1:14" ht="13.5">
      <c r="A16" s="75" t="s">
        <v>57</v>
      </c>
      <c r="B16" s="118">
        <f>_xlfn.COMPOUNDVALUE(89)</f>
        <v>598</v>
      </c>
      <c r="C16" s="119">
        <v>2329591</v>
      </c>
      <c r="D16" s="118">
        <f>_xlfn.COMPOUNDVALUE(90)</f>
        <v>224</v>
      </c>
      <c r="E16" s="119">
        <v>127490</v>
      </c>
      <c r="F16" s="118">
        <f>_xlfn.COMPOUNDVALUE(91)</f>
        <v>822</v>
      </c>
      <c r="G16" s="119">
        <v>2457081</v>
      </c>
      <c r="H16" s="118">
        <f>_xlfn.COMPOUNDVALUE(92)</f>
        <v>27</v>
      </c>
      <c r="I16" s="120">
        <v>105794</v>
      </c>
      <c r="J16" s="118">
        <v>52</v>
      </c>
      <c r="K16" s="120">
        <v>-2932</v>
      </c>
      <c r="L16" s="118">
        <v>858</v>
      </c>
      <c r="M16" s="120">
        <v>2348355</v>
      </c>
      <c r="N16" s="76" t="s">
        <v>57</v>
      </c>
    </row>
    <row r="17" spans="1:14" ht="13.5">
      <c r="A17" s="75" t="s">
        <v>58</v>
      </c>
      <c r="B17" s="118">
        <f>_xlfn.COMPOUNDVALUE(93)</f>
        <v>1554</v>
      </c>
      <c r="C17" s="119">
        <v>13990384</v>
      </c>
      <c r="D17" s="118">
        <f>_xlfn.COMPOUNDVALUE(94)</f>
        <v>575</v>
      </c>
      <c r="E17" s="119">
        <v>338327</v>
      </c>
      <c r="F17" s="118">
        <f>_xlfn.COMPOUNDVALUE(95)</f>
        <v>2129</v>
      </c>
      <c r="G17" s="119">
        <v>14328711</v>
      </c>
      <c r="H17" s="118">
        <f>_xlfn.COMPOUNDVALUE(96)</f>
        <v>82</v>
      </c>
      <c r="I17" s="120">
        <v>1169230</v>
      </c>
      <c r="J17" s="118">
        <v>127</v>
      </c>
      <c r="K17" s="120">
        <v>29513</v>
      </c>
      <c r="L17" s="118">
        <v>2224</v>
      </c>
      <c r="M17" s="120">
        <v>13188994</v>
      </c>
      <c r="N17" s="76" t="s">
        <v>58</v>
      </c>
    </row>
    <row r="18" spans="1:14" ht="13.5">
      <c r="A18" s="77" t="s">
        <v>59</v>
      </c>
      <c r="B18" s="121">
        <v>12481</v>
      </c>
      <c r="C18" s="122">
        <v>97614741</v>
      </c>
      <c r="D18" s="121">
        <v>4875</v>
      </c>
      <c r="E18" s="122">
        <v>2861710</v>
      </c>
      <c r="F18" s="121">
        <v>17356</v>
      </c>
      <c r="G18" s="122">
        <v>100476451</v>
      </c>
      <c r="H18" s="121">
        <v>659</v>
      </c>
      <c r="I18" s="123">
        <v>5724714</v>
      </c>
      <c r="J18" s="121">
        <v>918</v>
      </c>
      <c r="K18" s="123">
        <v>129888</v>
      </c>
      <c r="L18" s="121">
        <v>18113</v>
      </c>
      <c r="M18" s="123">
        <v>94881625</v>
      </c>
      <c r="N18" s="78" t="s">
        <v>59</v>
      </c>
    </row>
    <row r="19" spans="1:14" ht="13.5">
      <c r="A19" s="79"/>
      <c r="B19" s="126"/>
      <c r="C19" s="127"/>
      <c r="D19" s="126"/>
      <c r="E19" s="127"/>
      <c r="F19" s="128"/>
      <c r="G19" s="127"/>
      <c r="H19" s="128"/>
      <c r="I19" s="127"/>
      <c r="J19" s="128"/>
      <c r="K19" s="127"/>
      <c r="L19" s="128"/>
      <c r="M19" s="127"/>
      <c r="N19" s="80"/>
    </row>
    <row r="20" spans="1:14" ht="13.5">
      <c r="A20" s="73" t="s">
        <v>83</v>
      </c>
      <c r="B20" s="113">
        <f>_xlfn.COMPOUNDVALUE(97)</f>
        <v>4190</v>
      </c>
      <c r="C20" s="114">
        <v>32334777</v>
      </c>
      <c r="D20" s="113">
        <f>_xlfn.COMPOUNDVALUE(98)</f>
        <v>1426</v>
      </c>
      <c r="E20" s="114">
        <v>889579</v>
      </c>
      <c r="F20" s="113">
        <f>_xlfn.COMPOUNDVALUE(99)</f>
        <v>5616</v>
      </c>
      <c r="G20" s="114">
        <v>33224356</v>
      </c>
      <c r="H20" s="113">
        <f>_xlfn.COMPOUNDVALUE(100)</f>
        <v>298</v>
      </c>
      <c r="I20" s="115">
        <v>1921445</v>
      </c>
      <c r="J20" s="113">
        <v>474</v>
      </c>
      <c r="K20" s="115">
        <v>198513</v>
      </c>
      <c r="L20" s="113">
        <v>5946</v>
      </c>
      <c r="M20" s="115">
        <v>31501424</v>
      </c>
      <c r="N20" s="74" t="s">
        <v>61</v>
      </c>
    </row>
    <row r="21" spans="1:14" ht="13.5">
      <c r="A21" s="75" t="s">
        <v>84</v>
      </c>
      <c r="B21" s="118">
        <f>_xlfn.COMPOUNDVALUE(101)</f>
        <v>980</v>
      </c>
      <c r="C21" s="119">
        <v>5282918</v>
      </c>
      <c r="D21" s="118">
        <f>_xlfn.COMPOUNDVALUE(102)</f>
        <v>393</v>
      </c>
      <c r="E21" s="119">
        <v>228891</v>
      </c>
      <c r="F21" s="118">
        <f>_xlfn.COMPOUNDVALUE(103)</f>
        <v>1373</v>
      </c>
      <c r="G21" s="119">
        <v>5511809</v>
      </c>
      <c r="H21" s="118">
        <f>_xlfn.COMPOUNDVALUE(104)</f>
        <v>63</v>
      </c>
      <c r="I21" s="120">
        <v>308021</v>
      </c>
      <c r="J21" s="118">
        <v>101</v>
      </c>
      <c r="K21" s="120">
        <v>4393</v>
      </c>
      <c r="L21" s="118">
        <v>1446</v>
      </c>
      <c r="M21" s="120">
        <v>5208181</v>
      </c>
      <c r="N21" s="76" t="s">
        <v>63</v>
      </c>
    </row>
    <row r="22" spans="1:14" ht="13.5">
      <c r="A22" s="75" t="s">
        <v>85</v>
      </c>
      <c r="B22" s="118">
        <f>_xlfn.COMPOUNDVALUE(105)</f>
        <v>2006</v>
      </c>
      <c r="C22" s="119">
        <v>17275267</v>
      </c>
      <c r="D22" s="118">
        <f>_xlfn.COMPOUNDVALUE(106)</f>
        <v>781</v>
      </c>
      <c r="E22" s="119">
        <v>434727</v>
      </c>
      <c r="F22" s="118">
        <f>_xlfn.COMPOUNDVALUE(107)</f>
        <v>2787</v>
      </c>
      <c r="G22" s="119">
        <v>17709994</v>
      </c>
      <c r="H22" s="118">
        <f>_xlfn.COMPOUNDVALUE(108)</f>
        <v>194</v>
      </c>
      <c r="I22" s="120">
        <v>753891</v>
      </c>
      <c r="J22" s="118">
        <v>175</v>
      </c>
      <c r="K22" s="120">
        <v>28094</v>
      </c>
      <c r="L22" s="118">
        <v>3001</v>
      </c>
      <c r="M22" s="120">
        <v>16984197</v>
      </c>
      <c r="N22" s="76" t="s">
        <v>65</v>
      </c>
    </row>
    <row r="23" spans="1:14" ht="13.5">
      <c r="A23" s="75" t="s">
        <v>86</v>
      </c>
      <c r="B23" s="118">
        <f>_xlfn.COMPOUNDVALUE(109)</f>
        <v>508</v>
      </c>
      <c r="C23" s="119">
        <v>2458382</v>
      </c>
      <c r="D23" s="118">
        <f>_xlfn.COMPOUNDVALUE(110)</f>
        <v>186</v>
      </c>
      <c r="E23" s="119">
        <v>99623</v>
      </c>
      <c r="F23" s="118">
        <f>_xlfn.COMPOUNDVALUE(111)</f>
        <v>694</v>
      </c>
      <c r="G23" s="119">
        <v>2558005</v>
      </c>
      <c r="H23" s="118">
        <f>_xlfn.COMPOUNDVALUE(112)</f>
        <v>26</v>
      </c>
      <c r="I23" s="120">
        <v>160517</v>
      </c>
      <c r="J23" s="118">
        <v>56</v>
      </c>
      <c r="K23" s="120">
        <v>22013</v>
      </c>
      <c r="L23" s="118">
        <v>724</v>
      </c>
      <c r="M23" s="120">
        <v>2419502</v>
      </c>
      <c r="N23" s="76" t="s">
        <v>67</v>
      </c>
    </row>
    <row r="24" spans="1:14" ht="13.5">
      <c r="A24" s="75" t="s">
        <v>87</v>
      </c>
      <c r="B24" s="118">
        <f>_xlfn.COMPOUNDVALUE(113)</f>
        <v>585</v>
      </c>
      <c r="C24" s="119">
        <v>2649227</v>
      </c>
      <c r="D24" s="118">
        <f>_xlfn.COMPOUNDVALUE(114)</f>
        <v>267</v>
      </c>
      <c r="E24" s="119">
        <v>145247</v>
      </c>
      <c r="F24" s="118">
        <f>_xlfn.COMPOUNDVALUE(115)</f>
        <v>852</v>
      </c>
      <c r="G24" s="119">
        <v>2794475</v>
      </c>
      <c r="H24" s="118">
        <f>_xlfn.COMPOUNDVALUE(116)</f>
        <v>21</v>
      </c>
      <c r="I24" s="120">
        <v>107903</v>
      </c>
      <c r="J24" s="118">
        <v>47</v>
      </c>
      <c r="K24" s="120">
        <v>13164</v>
      </c>
      <c r="L24" s="118">
        <v>877</v>
      </c>
      <c r="M24" s="120">
        <v>2699736</v>
      </c>
      <c r="N24" s="76" t="s">
        <v>69</v>
      </c>
    </row>
    <row r="25" spans="1:14" ht="13.5">
      <c r="A25" s="75" t="s">
        <v>88</v>
      </c>
      <c r="B25" s="118">
        <f>_xlfn.COMPOUNDVALUE(117)</f>
        <v>1185</v>
      </c>
      <c r="C25" s="119">
        <v>8783802</v>
      </c>
      <c r="D25" s="118">
        <f>_xlfn.COMPOUNDVALUE(118)</f>
        <v>446</v>
      </c>
      <c r="E25" s="119">
        <v>257485</v>
      </c>
      <c r="F25" s="118">
        <f>_xlfn.COMPOUNDVALUE(119)</f>
        <v>1631</v>
      </c>
      <c r="G25" s="119">
        <v>9041287</v>
      </c>
      <c r="H25" s="118">
        <f>_xlfn.COMPOUNDVALUE(120)</f>
        <v>88</v>
      </c>
      <c r="I25" s="120">
        <v>547453</v>
      </c>
      <c r="J25" s="118">
        <v>142</v>
      </c>
      <c r="K25" s="120">
        <v>23506</v>
      </c>
      <c r="L25" s="118">
        <v>1739</v>
      </c>
      <c r="M25" s="120">
        <v>8517341</v>
      </c>
      <c r="N25" s="76" t="s">
        <v>71</v>
      </c>
    </row>
    <row r="26" spans="1:14" ht="13.5">
      <c r="A26" s="77" t="s">
        <v>89</v>
      </c>
      <c r="B26" s="121">
        <v>9454</v>
      </c>
      <c r="C26" s="122">
        <v>68784373</v>
      </c>
      <c r="D26" s="121">
        <v>3499</v>
      </c>
      <c r="E26" s="122">
        <v>2055553</v>
      </c>
      <c r="F26" s="121">
        <v>12953</v>
      </c>
      <c r="G26" s="122">
        <v>70839926</v>
      </c>
      <c r="H26" s="121">
        <v>690</v>
      </c>
      <c r="I26" s="123">
        <v>3799230</v>
      </c>
      <c r="J26" s="121">
        <v>995</v>
      </c>
      <c r="K26" s="123">
        <v>289683</v>
      </c>
      <c r="L26" s="121">
        <v>13733</v>
      </c>
      <c r="M26" s="123">
        <v>67330379</v>
      </c>
      <c r="N26" s="78" t="s">
        <v>73</v>
      </c>
    </row>
    <row r="27" spans="1:14" ht="14.25" thickBot="1">
      <c r="A27" s="81"/>
      <c r="B27" s="132"/>
      <c r="C27" s="133"/>
      <c r="D27" s="132"/>
      <c r="E27" s="133"/>
      <c r="F27" s="134"/>
      <c r="G27" s="133"/>
      <c r="H27" s="134"/>
      <c r="I27" s="133"/>
      <c r="J27" s="134"/>
      <c r="K27" s="133"/>
      <c r="L27" s="134"/>
      <c r="M27" s="133"/>
      <c r="N27" s="82"/>
    </row>
    <row r="28" spans="1:14" ht="15" thickBot="1" thickTop="1">
      <c r="A28" s="83" t="s">
        <v>90</v>
      </c>
      <c r="B28" s="138">
        <v>33080</v>
      </c>
      <c r="C28" s="139">
        <v>271912357</v>
      </c>
      <c r="D28" s="138">
        <v>12291</v>
      </c>
      <c r="E28" s="139">
        <v>7250234</v>
      </c>
      <c r="F28" s="138">
        <v>45371</v>
      </c>
      <c r="G28" s="139">
        <v>279162591</v>
      </c>
      <c r="H28" s="138">
        <v>2607</v>
      </c>
      <c r="I28" s="140">
        <v>18831568</v>
      </c>
      <c r="J28" s="138">
        <v>2675</v>
      </c>
      <c r="K28" s="140">
        <v>544365</v>
      </c>
      <c r="L28" s="138">
        <v>48264</v>
      </c>
      <c r="M28" s="140">
        <v>260875387</v>
      </c>
      <c r="N28" s="84" t="s">
        <v>75</v>
      </c>
    </row>
    <row r="29" spans="1:14" ht="13.5">
      <c r="A29" s="199" t="s">
        <v>123</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&amp;R金沢国税局
消費税
(H28)</oddFooter>
  </headerFooter>
</worksheet>
</file>

<file path=xl/worksheets/sheet6.xml><?xml version="1.0" encoding="utf-8"?>
<worksheet xmlns="http://schemas.openxmlformats.org/spreadsheetml/2006/main" xmlns:r="http://schemas.openxmlformats.org/officeDocument/2006/relationships">
  <dimension ref="A1:R29"/>
  <sheetViews>
    <sheetView zoomScaleSheetLayoutView="100" workbookViewId="0" topLeftCell="A1">
      <selection activeCell="A1" sqref="A1"/>
    </sheetView>
  </sheetViews>
  <sheetFormatPr defaultColWidth="9.00390625" defaultRowHeight="13.5"/>
  <cols>
    <col min="1" max="1" width="10.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7" width="10.625" style="58" customWidth="1"/>
    <col min="18" max="18" width="10.375" style="58" customWidth="1"/>
    <col min="19" max="16384" width="9.00390625" style="58" customWidth="1"/>
  </cols>
  <sheetData>
    <row r="1" spans="1:18" ht="13.5">
      <c r="A1" s="61" t="s">
        <v>132</v>
      </c>
      <c r="B1" s="61"/>
      <c r="C1" s="61"/>
      <c r="D1" s="61"/>
      <c r="E1" s="61"/>
      <c r="F1" s="61"/>
      <c r="G1" s="61"/>
      <c r="H1" s="61"/>
      <c r="I1" s="61"/>
      <c r="J1" s="61"/>
      <c r="K1" s="61"/>
      <c r="L1" s="62"/>
      <c r="M1" s="62"/>
      <c r="N1" s="62"/>
      <c r="O1" s="62"/>
      <c r="P1" s="62"/>
      <c r="Q1" s="112"/>
      <c r="R1" s="112"/>
    </row>
    <row r="2" spans="1:18" ht="14.25" thickBot="1">
      <c r="A2" s="200" t="s">
        <v>91</v>
      </c>
      <c r="B2" s="200"/>
      <c r="C2" s="200"/>
      <c r="D2" s="200"/>
      <c r="E2" s="200"/>
      <c r="F2" s="200"/>
      <c r="G2" s="200"/>
      <c r="H2" s="200"/>
      <c r="I2" s="200"/>
      <c r="J2" s="85"/>
      <c r="K2" s="85"/>
      <c r="L2" s="62"/>
      <c r="M2" s="62"/>
      <c r="N2" s="62"/>
      <c r="O2" s="62"/>
      <c r="P2" s="62"/>
      <c r="Q2" s="112"/>
      <c r="R2" s="112"/>
    </row>
    <row r="3" spans="1:18" ht="13.5">
      <c r="A3" s="185" t="s">
        <v>31</v>
      </c>
      <c r="B3" s="188" t="s">
        <v>32</v>
      </c>
      <c r="C3" s="188"/>
      <c r="D3" s="188"/>
      <c r="E3" s="188"/>
      <c r="F3" s="188"/>
      <c r="G3" s="188"/>
      <c r="H3" s="188" t="s">
        <v>13</v>
      </c>
      <c r="I3" s="188"/>
      <c r="J3" s="210" t="s">
        <v>33</v>
      </c>
      <c r="K3" s="188"/>
      <c r="L3" s="188" t="s">
        <v>34</v>
      </c>
      <c r="M3" s="188"/>
      <c r="N3" s="201" t="s">
        <v>92</v>
      </c>
      <c r="O3" s="202"/>
      <c r="P3" s="202"/>
      <c r="Q3" s="202"/>
      <c r="R3" s="194" t="s">
        <v>77</v>
      </c>
    </row>
    <row r="4" spans="1:18" ht="13.5">
      <c r="A4" s="186"/>
      <c r="B4" s="197" t="s">
        <v>18</v>
      </c>
      <c r="C4" s="197"/>
      <c r="D4" s="197" t="s">
        <v>36</v>
      </c>
      <c r="E4" s="197"/>
      <c r="F4" s="197" t="s">
        <v>37</v>
      </c>
      <c r="G4" s="197"/>
      <c r="H4" s="197"/>
      <c r="I4" s="197"/>
      <c r="J4" s="197"/>
      <c r="K4" s="197"/>
      <c r="L4" s="197"/>
      <c r="M4" s="197"/>
      <c r="N4" s="203" t="s">
        <v>93</v>
      </c>
      <c r="O4" s="205" t="s">
        <v>94</v>
      </c>
      <c r="P4" s="207" t="s">
        <v>95</v>
      </c>
      <c r="Q4" s="192" t="s">
        <v>96</v>
      </c>
      <c r="R4" s="195"/>
    </row>
    <row r="5" spans="1:18" ht="22.5">
      <c r="A5" s="187"/>
      <c r="B5" s="63" t="s">
        <v>38</v>
      </c>
      <c r="C5" s="64" t="s">
        <v>39</v>
      </c>
      <c r="D5" s="63" t="s">
        <v>38</v>
      </c>
      <c r="E5" s="64" t="s">
        <v>39</v>
      </c>
      <c r="F5" s="63" t="s">
        <v>38</v>
      </c>
      <c r="G5" s="64" t="s">
        <v>40</v>
      </c>
      <c r="H5" s="63" t="s">
        <v>38</v>
      </c>
      <c r="I5" s="64" t="s">
        <v>41</v>
      </c>
      <c r="J5" s="63" t="s">
        <v>38</v>
      </c>
      <c r="K5" s="64" t="s">
        <v>42</v>
      </c>
      <c r="L5" s="63" t="s">
        <v>38</v>
      </c>
      <c r="M5" s="86" t="s">
        <v>97</v>
      </c>
      <c r="N5" s="204"/>
      <c r="O5" s="206"/>
      <c r="P5" s="208"/>
      <c r="Q5" s="209"/>
      <c r="R5" s="196"/>
    </row>
    <row r="6" spans="1:18" ht="13.5">
      <c r="A6" s="68"/>
      <c r="B6" s="69" t="s">
        <v>4</v>
      </c>
      <c r="C6" s="70" t="s">
        <v>5</v>
      </c>
      <c r="D6" s="69" t="s">
        <v>4</v>
      </c>
      <c r="E6" s="70" t="s">
        <v>5</v>
      </c>
      <c r="F6" s="69" t="s">
        <v>4</v>
      </c>
      <c r="G6" s="70" t="s">
        <v>5</v>
      </c>
      <c r="H6" s="69" t="s">
        <v>4</v>
      </c>
      <c r="I6" s="70" t="s">
        <v>5</v>
      </c>
      <c r="J6" s="69" t="s">
        <v>4</v>
      </c>
      <c r="K6" s="70" t="s">
        <v>5</v>
      </c>
      <c r="L6" s="69" t="s">
        <v>130</v>
      </c>
      <c r="M6" s="70" t="s">
        <v>5</v>
      </c>
      <c r="N6" s="69" t="s">
        <v>4</v>
      </c>
      <c r="O6" s="87" t="s">
        <v>4</v>
      </c>
      <c r="P6" s="87" t="s">
        <v>4</v>
      </c>
      <c r="Q6" s="88" t="s">
        <v>4</v>
      </c>
      <c r="R6" s="72"/>
    </row>
    <row r="7" spans="1:18" ht="13.5">
      <c r="A7" s="73" t="s">
        <v>44</v>
      </c>
      <c r="B7" s="113">
        <f>_xlfn.COMPOUNDVALUE(121)</f>
        <v>6185</v>
      </c>
      <c r="C7" s="114">
        <v>54316645</v>
      </c>
      <c r="D7" s="113">
        <f>_xlfn.COMPOUNDVALUE(122)</f>
        <v>4078</v>
      </c>
      <c r="E7" s="114">
        <v>2061575</v>
      </c>
      <c r="F7" s="113">
        <f>_xlfn.COMPOUNDVALUE(123)</f>
        <v>10263</v>
      </c>
      <c r="G7" s="114">
        <v>56378220</v>
      </c>
      <c r="H7" s="113">
        <f>_xlfn.COMPOUNDVALUE(124)</f>
        <v>558</v>
      </c>
      <c r="I7" s="115">
        <v>4706446</v>
      </c>
      <c r="J7" s="113">
        <v>548</v>
      </c>
      <c r="K7" s="115">
        <v>96522</v>
      </c>
      <c r="L7" s="113">
        <v>10937</v>
      </c>
      <c r="M7" s="115">
        <v>51768296</v>
      </c>
      <c r="N7" s="113">
        <v>10355</v>
      </c>
      <c r="O7" s="116">
        <v>346</v>
      </c>
      <c r="P7" s="116">
        <v>40</v>
      </c>
      <c r="Q7" s="117">
        <v>10741</v>
      </c>
      <c r="R7" s="92" t="s">
        <v>45</v>
      </c>
    </row>
    <row r="8" spans="1:18" ht="13.5">
      <c r="A8" s="75" t="s">
        <v>46</v>
      </c>
      <c r="B8" s="118">
        <f>_xlfn.COMPOUNDVALUE(125)</f>
        <v>4632</v>
      </c>
      <c r="C8" s="119">
        <v>29814293</v>
      </c>
      <c r="D8" s="118">
        <f>_xlfn.COMPOUNDVALUE(126)</f>
        <v>2969</v>
      </c>
      <c r="E8" s="119">
        <v>1375986</v>
      </c>
      <c r="F8" s="118">
        <f>_xlfn.COMPOUNDVALUE(127)</f>
        <v>7601</v>
      </c>
      <c r="G8" s="119">
        <v>31190279</v>
      </c>
      <c r="H8" s="118">
        <f>_xlfn.COMPOUNDVALUE(128)</f>
        <v>543</v>
      </c>
      <c r="I8" s="120">
        <v>2484087</v>
      </c>
      <c r="J8" s="118">
        <v>527</v>
      </c>
      <c r="K8" s="120">
        <v>78916</v>
      </c>
      <c r="L8" s="118">
        <v>8223</v>
      </c>
      <c r="M8" s="120">
        <v>28785107</v>
      </c>
      <c r="N8" s="113">
        <v>7505</v>
      </c>
      <c r="O8" s="116">
        <v>303</v>
      </c>
      <c r="P8" s="116">
        <v>27</v>
      </c>
      <c r="Q8" s="117">
        <v>7835</v>
      </c>
      <c r="R8" s="76" t="s">
        <v>47</v>
      </c>
    </row>
    <row r="9" spans="1:18" ht="13.5">
      <c r="A9" s="75" t="s">
        <v>48</v>
      </c>
      <c r="B9" s="118">
        <f>_xlfn.COMPOUNDVALUE(129)</f>
        <v>2597</v>
      </c>
      <c r="C9" s="119">
        <v>13166351</v>
      </c>
      <c r="D9" s="118">
        <f>_xlfn.COMPOUNDVALUE(130)</f>
        <v>1923</v>
      </c>
      <c r="E9" s="119">
        <v>845086</v>
      </c>
      <c r="F9" s="118">
        <f>_xlfn.COMPOUNDVALUE(131)</f>
        <v>4520</v>
      </c>
      <c r="G9" s="119">
        <v>14011436</v>
      </c>
      <c r="H9" s="118">
        <f>_xlfn.COMPOUNDVALUE(132)</f>
        <v>226</v>
      </c>
      <c r="I9" s="120">
        <v>1750076</v>
      </c>
      <c r="J9" s="118">
        <v>230</v>
      </c>
      <c r="K9" s="120">
        <v>34689</v>
      </c>
      <c r="L9" s="118">
        <v>4778</v>
      </c>
      <c r="M9" s="120">
        <v>12296049</v>
      </c>
      <c r="N9" s="113">
        <v>4413</v>
      </c>
      <c r="O9" s="116">
        <v>185</v>
      </c>
      <c r="P9" s="116">
        <v>11</v>
      </c>
      <c r="Q9" s="117">
        <v>4609</v>
      </c>
      <c r="R9" s="76" t="s">
        <v>49</v>
      </c>
    </row>
    <row r="10" spans="1:18" ht="13.5">
      <c r="A10" s="75" t="s">
        <v>50</v>
      </c>
      <c r="B10" s="118">
        <f>_xlfn.COMPOUNDVALUE(133)</f>
        <v>1863</v>
      </c>
      <c r="C10" s="119">
        <v>11241717</v>
      </c>
      <c r="D10" s="118">
        <f>_xlfn.COMPOUNDVALUE(134)</f>
        <v>1351</v>
      </c>
      <c r="E10" s="119">
        <v>601519</v>
      </c>
      <c r="F10" s="118">
        <f>_xlfn.COMPOUNDVALUE(135)</f>
        <v>3214</v>
      </c>
      <c r="G10" s="119">
        <v>11843237</v>
      </c>
      <c r="H10" s="118">
        <f>_xlfn.COMPOUNDVALUE(136)</f>
        <v>168</v>
      </c>
      <c r="I10" s="120">
        <v>570069</v>
      </c>
      <c r="J10" s="118">
        <v>159</v>
      </c>
      <c r="K10" s="120">
        <v>30367</v>
      </c>
      <c r="L10" s="118">
        <v>3416</v>
      </c>
      <c r="M10" s="120">
        <v>11303535</v>
      </c>
      <c r="N10" s="113">
        <v>3294</v>
      </c>
      <c r="O10" s="116">
        <v>132</v>
      </c>
      <c r="P10" s="116">
        <v>5</v>
      </c>
      <c r="Q10" s="117">
        <v>3431</v>
      </c>
      <c r="R10" s="76" t="s">
        <v>51</v>
      </c>
    </row>
    <row r="11" spans="1:18" ht="13.5">
      <c r="A11" s="77" t="s">
        <v>52</v>
      </c>
      <c r="B11" s="121">
        <v>15277</v>
      </c>
      <c r="C11" s="122">
        <v>108539005</v>
      </c>
      <c r="D11" s="121">
        <v>10321</v>
      </c>
      <c r="E11" s="122">
        <v>4884166</v>
      </c>
      <c r="F11" s="121">
        <v>25598</v>
      </c>
      <c r="G11" s="122">
        <v>113423171</v>
      </c>
      <c r="H11" s="121">
        <v>1495</v>
      </c>
      <c r="I11" s="123">
        <v>9510678</v>
      </c>
      <c r="J11" s="121">
        <v>1464</v>
      </c>
      <c r="K11" s="123">
        <v>240494</v>
      </c>
      <c r="L11" s="121">
        <v>27354</v>
      </c>
      <c r="M11" s="123">
        <v>104152988</v>
      </c>
      <c r="N11" s="121">
        <v>25567</v>
      </c>
      <c r="O11" s="124">
        <v>966</v>
      </c>
      <c r="P11" s="124">
        <v>83</v>
      </c>
      <c r="Q11" s="125">
        <v>26616</v>
      </c>
      <c r="R11" s="78" t="s">
        <v>53</v>
      </c>
    </row>
    <row r="12" spans="1:18" ht="13.5">
      <c r="A12" s="79"/>
      <c r="B12" s="126"/>
      <c r="C12" s="127"/>
      <c r="D12" s="126"/>
      <c r="E12" s="127"/>
      <c r="F12" s="128"/>
      <c r="G12" s="127"/>
      <c r="H12" s="128"/>
      <c r="I12" s="127"/>
      <c r="J12" s="128"/>
      <c r="K12" s="127"/>
      <c r="L12" s="128"/>
      <c r="M12" s="127"/>
      <c r="N12" s="129"/>
      <c r="O12" s="130"/>
      <c r="P12" s="130"/>
      <c r="Q12" s="131"/>
      <c r="R12" s="89" t="s">
        <v>98</v>
      </c>
    </row>
    <row r="13" spans="1:18" ht="13.5">
      <c r="A13" s="73" t="s">
        <v>54</v>
      </c>
      <c r="B13" s="113">
        <f>_xlfn.COMPOUNDVALUE(137)</f>
        <v>8914</v>
      </c>
      <c r="C13" s="114">
        <v>58386345</v>
      </c>
      <c r="D13" s="113">
        <f>_xlfn.COMPOUNDVALUE(138)</f>
        <v>5835</v>
      </c>
      <c r="E13" s="114">
        <v>2955010</v>
      </c>
      <c r="F13" s="113">
        <f>_xlfn.COMPOUNDVALUE(139)</f>
        <v>14749</v>
      </c>
      <c r="G13" s="114">
        <v>61341355</v>
      </c>
      <c r="H13" s="113">
        <f>_xlfn.COMPOUNDVALUE(140)</f>
        <v>482</v>
      </c>
      <c r="I13" s="115">
        <v>3653776</v>
      </c>
      <c r="J13" s="113">
        <v>761</v>
      </c>
      <c r="K13" s="115">
        <v>161778</v>
      </c>
      <c r="L13" s="113">
        <v>15387</v>
      </c>
      <c r="M13" s="115">
        <v>57849357</v>
      </c>
      <c r="N13" s="113">
        <v>15150</v>
      </c>
      <c r="O13" s="116">
        <v>330</v>
      </c>
      <c r="P13" s="116">
        <v>50</v>
      </c>
      <c r="Q13" s="117">
        <v>15530</v>
      </c>
      <c r="R13" s="76" t="s">
        <v>54</v>
      </c>
    </row>
    <row r="14" spans="1:18" ht="13.5">
      <c r="A14" s="75" t="s">
        <v>55</v>
      </c>
      <c r="B14" s="118">
        <f>_xlfn.COMPOUNDVALUE(141)</f>
        <v>1665</v>
      </c>
      <c r="C14" s="119">
        <v>7226471</v>
      </c>
      <c r="D14" s="118">
        <f>_xlfn.COMPOUNDVALUE(142)</f>
        <v>1332</v>
      </c>
      <c r="E14" s="119">
        <v>578882</v>
      </c>
      <c r="F14" s="118">
        <f>_xlfn.COMPOUNDVALUE(143)</f>
        <v>2997</v>
      </c>
      <c r="G14" s="119">
        <v>7805353</v>
      </c>
      <c r="H14" s="118">
        <f>_xlfn.COMPOUNDVALUE(144)</f>
        <v>108</v>
      </c>
      <c r="I14" s="120">
        <v>576138</v>
      </c>
      <c r="J14" s="118">
        <v>180</v>
      </c>
      <c r="K14" s="120">
        <v>14887</v>
      </c>
      <c r="L14" s="118">
        <v>3138</v>
      </c>
      <c r="M14" s="120">
        <v>7244103</v>
      </c>
      <c r="N14" s="113">
        <v>2954</v>
      </c>
      <c r="O14" s="116">
        <v>88</v>
      </c>
      <c r="P14" s="116">
        <v>4</v>
      </c>
      <c r="Q14" s="117">
        <v>3046</v>
      </c>
      <c r="R14" s="76" t="s">
        <v>55</v>
      </c>
    </row>
    <row r="15" spans="1:18" ht="13.5">
      <c r="A15" s="75" t="s">
        <v>56</v>
      </c>
      <c r="B15" s="118">
        <f>_xlfn.COMPOUNDVALUE(145)</f>
        <v>3447</v>
      </c>
      <c r="C15" s="119">
        <v>18475366</v>
      </c>
      <c r="D15" s="118">
        <f>_xlfn.COMPOUNDVALUE(146)</f>
        <v>2595</v>
      </c>
      <c r="E15" s="119">
        <v>1173320</v>
      </c>
      <c r="F15" s="118">
        <f>_xlfn.COMPOUNDVALUE(147)</f>
        <v>6042</v>
      </c>
      <c r="G15" s="119">
        <v>19648686</v>
      </c>
      <c r="H15" s="118">
        <f>_xlfn.COMPOUNDVALUE(148)</f>
        <v>163</v>
      </c>
      <c r="I15" s="120">
        <v>345013</v>
      </c>
      <c r="J15" s="118">
        <v>367</v>
      </c>
      <c r="K15" s="120">
        <v>55462</v>
      </c>
      <c r="L15" s="118">
        <v>6293</v>
      </c>
      <c r="M15" s="120">
        <v>19359134</v>
      </c>
      <c r="N15" s="113">
        <v>5992</v>
      </c>
      <c r="O15" s="116">
        <v>88</v>
      </c>
      <c r="P15" s="116">
        <v>7</v>
      </c>
      <c r="Q15" s="117">
        <v>6087</v>
      </c>
      <c r="R15" s="76" t="s">
        <v>56</v>
      </c>
    </row>
    <row r="16" spans="1:18" ht="13.5">
      <c r="A16" s="75" t="s">
        <v>57</v>
      </c>
      <c r="B16" s="118">
        <f>_xlfn.COMPOUNDVALUE(149)</f>
        <v>919</v>
      </c>
      <c r="C16" s="119">
        <v>2579279</v>
      </c>
      <c r="D16" s="118">
        <f>_xlfn.COMPOUNDVALUE(150)</f>
        <v>880</v>
      </c>
      <c r="E16" s="119">
        <v>353108</v>
      </c>
      <c r="F16" s="118">
        <f>_xlfn.COMPOUNDVALUE(151)</f>
        <v>1799</v>
      </c>
      <c r="G16" s="119">
        <v>2932387</v>
      </c>
      <c r="H16" s="118">
        <f>_xlfn.COMPOUNDVALUE(152)</f>
        <v>39</v>
      </c>
      <c r="I16" s="120">
        <v>109632</v>
      </c>
      <c r="J16" s="118">
        <v>134</v>
      </c>
      <c r="K16" s="120">
        <v>3921</v>
      </c>
      <c r="L16" s="118">
        <v>1861</v>
      </c>
      <c r="M16" s="120">
        <v>2826676</v>
      </c>
      <c r="N16" s="113">
        <v>1798</v>
      </c>
      <c r="O16" s="116">
        <v>36</v>
      </c>
      <c r="P16" s="116">
        <v>3</v>
      </c>
      <c r="Q16" s="117">
        <v>1837</v>
      </c>
      <c r="R16" s="76" t="s">
        <v>57</v>
      </c>
    </row>
    <row r="17" spans="1:18" ht="13.5">
      <c r="A17" s="75" t="s">
        <v>58</v>
      </c>
      <c r="B17" s="118">
        <f>_xlfn.COMPOUNDVALUE(153)</f>
        <v>2169</v>
      </c>
      <c r="C17" s="119">
        <v>14356216</v>
      </c>
      <c r="D17" s="118">
        <f>_xlfn.COMPOUNDVALUE(154)</f>
        <v>1479</v>
      </c>
      <c r="E17" s="119">
        <v>685879</v>
      </c>
      <c r="F17" s="118">
        <f>_xlfn.COMPOUNDVALUE(155)</f>
        <v>3648</v>
      </c>
      <c r="G17" s="119">
        <v>15042095</v>
      </c>
      <c r="H17" s="118">
        <f>_xlfn.COMPOUNDVALUE(156)</f>
        <v>115</v>
      </c>
      <c r="I17" s="120">
        <v>1186409</v>
      </c>
      <c r="J17" s="118">
        <v>220</v>
      </c>
      <c r="K17" s="120">
        <v>43615</v>
      </c>
      <c r="L17" s="118">
        <v>3806</v>
      </c>
      <c r="M17" s="120">
        <v>13899302</v>
      </c>
      <c r="N17" s="113">
        <v>3707</v>
      </c>
      <c r="O17" s="116">
        <v>77</v>
      </c>
      <c r="P17" s="116">
        <v>5</v>
      </c>
      <c r="Q17" s="117">
        <v>3789</v>
      </c>
      <c r="R17" s="76" t="s">
        <v>58</v>
      </c>
    </row>
    <row r="18" spans="1:18" ht="13.5">
      <c r="A18" s="77" t="s">
        <v>99</v>
      </c>
      <c r="B18" s="121">
        <v>17114</v>
      </c>
      <c r="C18" s="122">
        <v>101023677</v>
      </c>
      <c r="D18" s="121">
        <v>12121</v>
      </c>
      <c r="E18" s="122">
        <v>5746199</v>
      </c>
      <c r="F18" s="121">
        <v>29235</v>
      </c>
      <c r="G18" s="122">
        <v>106769876</v>
      </c>
      <c r="H18" s="121">
        <v>907</v>
      </c>
      <c r="I18" s="123">
        <v>5870968</v>
      </c>
      <c r="J18" s="121">
        <v>1662</v>
      </c>
      <c r="K18" s="123">
        <v>279664</v>
      </c>
      <c r="L18" s="121">
        <v>30485</v>
      </c>
      <c r="M18" s="123">
        <v>101178572</v>
      </c>
      <c r="N18" s="121">
        <v>29601</v>
      </c>
      <c r="O18" s="124">
        <v>619</v>
      </c>
      <c r="P18" s="124">
        <v>69</v>
      </c>
      <c r="Q18" s="125">
        <v>30289</v>
      </c>
      <c r="R18" s="78" t="s">
        <v>59</v>
      </c>
    </row>
    <row r="19" spans="1:18" ht="13.5">
      <c r="A19" s="79"/>
      <c r="B19" s="126"/>
      <c r="C19" s="127"/>
      <c r="D19" s="126"/>
      <c r="E19" s="127"/>
      <c r="F19" s="128"/>
      <c r="G19" s="127"/>
      <c r="H19" s="128"/>
      <c r="I19" s="127"/>
      <c r="J19" s="128"/>
      <c r="K19" s="127"/>
      <c r="L19" s="128"/>
      <c r="M19" s="127"/>
      <c r="N19" s="129"/>
      <c r="O19" s="130"/>
      <c r="P19" s="130"/>
      <c r="Q19" s="131"/>
      <c r="R19" s="89" t="s">
        <v>98</v>
      </c>
    </row>
    <row r="20" spans="1:18" ht="13.5">
      <c r="A20" s="73" t="s">
        <v>60</v>
      </c>
      <c r="B20" s="113">
        <f>_xlfn.COMPOUNDVALUE(157)</f>
        <v>5584</v>
      </c>
      <c r="C20" s="114">
        <v>33196292</v>
      </c>
      <c r="D20" s="113">
        <f>_xlfn.COMPOUNDVALUE(158)</f>
        <v>3191</v>
      </c>
      <c r="E20" s="114">
        <v>1613402</v>
      </c>
      <c r="F20" s="113">
        <f>_xlfn.COMPOUNDVALUE(159)</f>
        <v>8775</v>
      </c>
      <c r="G20" s="114">
        <v>34809694</v>
      </c>
      <c r="H20" s="113">
        <f>_xlfn.COMPOUNDVALUE(160)</f>
        <v>388</v>
      </c>
      <c r="I20" s="115">
        <v>1972274</v>
      </c>
      <c r="J20" s="113">
        <v>682</v>
      </c>
      <c r="K20" s="115">
        <v>228723</v>
      </c>
      <c r="L20" s="113">
        <v>9247</v>
      </c>
      <c r="M20" s="115">
        <v>33066143</v>
      </c>
      <c r="N20" s="113">
        <v>8688</v>
      </c>
      <c r="O20" s="116">
        <v>239</v>
      </c>
      <c r="P20" s="116">
        <v>28</v>
      </c>
      <c r="Q20" s="117">
        <v>8955</v>
      </c>
      <c r="R20" s="76" t="s">
        <v>61</v>
      </c>
    </row>
    <row r="21" spans="1:18" ht="13.5">
      <c r="A21" s="75" t="s">
        <v>62</v>
      </c>
      <c r="B21" s="118">
        <f>_xlfn.COMPOUNDVALUE(161)</f>
        <v>1305</v>
      </c>
      <c r="C21" s="119">
        <v>5478816</v>
      </c>
      <c r="D21" s="118">
        <f>_xlfn.COMPOUNDVALUE(162)</f>
        <v>955</v>
      </c>
      <c r="E21" s="119">
        <v>441446</v>
      </c>
      <c r="F21" s="118">
        <f>_xlfn.COMPOUNDVALUE(163)</f>
        <v>2260</v>
      </c>
      <c r="G21" s="119">
        <v>5920261</v>
      </c>
      <c r="H21" s="118">
        <f>_xlfn.COMPOUNDVALUE(164)</f>
        <v>83</v>
      </c>
      <c r="I21" s="120">
        <v>310528</v>
      </c>
      <c r="J21" s="118">
        <v>162</v>
      </c>
      <c r="K21" s="120">
        <v>15441</v>
      </c>
      <c r="L21" s="118">
        <v>2383</v>
      </c>
      <c r="M21" s="120">
        <v>5625174</v>
      </c>
      <c r="N21" s="113">
        <v>2207</v>
      </c>
      <c r="O21" s="116">
        <v>63</v>
      </c>
      <c r="P21" s="116">
        <v>4</v>
      </c>
      <c r="Q21" s="117">
        <v>2274</v>
      </c>
      <c r="R21" s="76" t="s">
        <v>63</v>
      </c>
    </row>
    <row r="22" spans="1:18" ht="13.5">
      <c r="A22" s="75" t="s">
        <v>64</v>
      </c>
      <c r="B22" s="118">
        <f>_xlfn.COMPOUNDVALUE(165)</f>
        <v>2942</v>
      </c>
      <c r="C22" s="119">
        <v>17907394</v>
      </c>
      <c r="D22" s="118">
        <f>_xlfn.COMPOUNDVALUE(166)</f>
        <v>1993</v>
      </c>
      <c r="E22" s="119">
        <v>910864</v>
      </c>
      <c r="F22" s="118">
        <f>_xlfn.COMPOUNDVALUE(167)</f>
        <v>4935</v>
      </c>
      <c r="G22" s="119">
        <v>18818258</v>
      </c>
      <c r="H22" s="118">
        <f>_xlfn.COMPOUNDVALUE(168)</f>
        <v>269</v>
      </c>
      <c r="I22" s="120">
        <v>793230</v>
      </c>
      <c r="J22" s="118">
        <v>346</v>
      </c>
      <c r="K22" s="120">
        <v>48909</v>
      </c>
      <c r="L22" s="118">
        <v>5266</v>
      </c>
      <c r="M22" s="120">
        <v>18073936</v>
      </c>
      <c r="N22" s="113">
        <v>4833</v>
      </c>
      <c r="O22" s="116">
        <v>121</v>
      </c>
      <c r="P22" s="116">
        <v>18</v>
      </c>
      <c r="Q22" s="117">
        <v>4972</v>
      </c>
      <c r="R22" s="76" t="s">
        <v>65</v>
      </c>
    </row>
    <row r="23" spans="1:18" ht="13.5">
      <c r="A23" s="75" t="s">
        <v>66</v>
      </c>
      <c r="B23" s="118">
        <f>_xlfn.COMPOUNDVALUE(169)</f>
        <v>757</v>
      </c>
      <c r="C23" s="119">
        <v>2578323</v>
      </c>
      <c r="D23" s="118">
        <f>_xlfn.COMPOUNDVALUE(170)</f>
        <v>519</v>
      </c>
      <c r="E23" s="119">
        <v>223249</v>
      </c>
      <c r="F23" s="118">
        <f>_xlfn.COMPOUNDVALUE(171)</f>
        <v>1276</v>
      </c>
      <c r="G23" s="119">
        <v>2801572</v>
      </c>
      <c r="H23" s="118">
        <f>_xlfn.COMPOUNDVALUE(172)</f>
        <v>41</v>
      </c>
      <c r="I23" s="120">
        <v>162590</v>
      </c>
      <c r="J23" s="118">
        <v>112</v>
      </c>
      <c r="K23" s="120">
        <v>28682</v>
      </c>
      <c r="L23" s="118">
        <v>1323</v>
      </c>
      <c r="M23" s="120">
        <v>2667664</v>
      </c>
      <c r="N23" s="113">
        <v>1355</v>
      </c>
      <c r="O23" s="116">
        <v>28</v>
      </c>
      <c r="P23" s="116">
        <v>0</v>
      </c>
      <c r="Q23" s="117">
        <v>1383</v>
      </c>
      <c r="R23" s="76" t="s">
        <v>67</v>
      </c>
    </row>
    <row r="24" spans="1:18" ht="13.5">
      <c r="A24" s="75" t="s">
        <v>68</v>
      </c>
      <c r="B24" s="118">
        <f>_xlfn.COMPOUNDVALUE(173)</f>
        <v>857</v>
      </c>
      <c r="C24" s="119">
        <v>2796855</v>
      </c>
      <c r="D24" s="118">
        <f>_xlfn.COMPOUNDVALUE(174)</f>
        <v>652</v>
      </c>
      <c r="E24" s="119">
        <v>294561</v>
      </c>
      <c r="F24" s="118">
        <f>_xlfn.COMPOUNDVALUE(175)</f>
        <v>1509</v>
      </c>
      <c r="G24" s="119">
        <v>3091416</v>
      </c>
      <c r="H24" s="118">
        <f>_xlfn.COMPOUNDVALUE(176)</f>
        <v>30</v>
      </c>
      <c r="I24" s="120">
        <v>111835</v>
      </c>
      <c r="J24" s="118">
        <v>114</v>
      </c>
      <c r="K24" s="120">
        <v>20636</v>
      </c>
      <c r="L24" s="118">
        <v>1550</v>
      </c>
      <c r="M24" s="120">
        <v>3000217</v>
      </c>
      <c r="N24" s="113">
        <v>1458</v>
      </c>
      <c r="O24" s="116">
        <v>35</v>
      </c>
      <c r="P24" s="116">
        <v>1</v>
      </c>
      <c r="Q24" s="117">
        <v>1494</v>
      </c>
      <c r="R24" s="76" t="s">
        <v>69</v>
      </c>
    </row>
    <row r="25" spans="1:18" ht="13.5">
      <c r="A25" s="75" t="s">
        <v>70</v>
      </c>
      <c r="B25" s="118">
        <f>_xlfn.COMPOUNDVALUE(177)</f>
        <v>1706</v>
      </c>
      <c r="C25" s="119">
        <v>9065696</v>
      </c>
      <c r="D25" s="118">
        <f>_xlfn.COMPOUNDVALUE(178)</f>
        <v>1092</v>
      </c>
      <c r="E25" s="119">
        <v>521098</v>
      </c>
      <c r="F25" s="118">
        <f>_xlfn.COMPOUNDVALUE(179)</f>
        <v>2798</v>
      </c>
      <c r="G25" s="119">
        <v>9586794</v>
      </c>
      <c r="H25" s="118">
        <f>_xlfn.COMPOUNDVALUE(180)</f>
        <v>121</v>
      </c>
      <c r="I25" s="120">
        <v>562451</v>
      </c>
      <c r="J25" s="118">
        <v>215</v>
      </c>
      <c r="K25" s="120">
        <v>37203</v>
      </c>
      <c r="L25" s="118">
        <v>2961</v>
      </c>
      <c r="M25" s="120">
        <v>9061546</v>
      </c>
      <c r="N25" s="113">
        <v>2828</v>
      </c>
      <c r="O25" s="116">
        <v>85</v>
      </c>
      <c r="P25" s="116">
        <v>7</v>
      </c>
      <c r="Q25" s="117">
        <v>2920</v>
      </c>
      <c r="R25" s="76" t="s">
        <v>71</v>
      </c>
    </row>
    <row r="26" spans="1:18" ht="13.5">
      <c r="A26" s="77" t="s">
        <v>72</v>
      </c>
      <c r="B26" s="121">
        <v>13151</v>
      </c>
      <c r="C26" s="122">
        <v>71023375</v>
      </c>
      <c r="D26" s="121">
        <v>8402</v>
      </c>
      <c r="E26" s="122">
        <v>4004620</v>
      </c>
      <c r="F26" s="121">
        <v>21553</v>
      </c>
      <c r="G26" s="122">
        <v>75027995</v>
      </c>
      <c r="H26" s="121">
        <v>932</v>
      </c>
      <c r="I26" s="123">
        <v>3912909</v>
      </c>
      <c r="J26" s="121">
        <v>1631</v>
      </c>
      <c r="K26" s="123">
        <v>379594</v>
      </c>
      <c r="L26" s="121">
        <v>22730</v>
      </c>
      <c r="M26" s="123">
        <v>71494681</v>
      </c>
      <c r="N26" s="121">
        <v>21369</v>
      </c>
      <c r="O26" s="124">
        <v>571</v>
      </c>
      <c r="P26" s="124">
        <v>58</v>
      </c>
      <c r="Q26" s="125">
        <v>21998</v>
      </c>
      <c r="R26" s="78" t="s">
        <v>73</v>
      </c>
    </row>
    <row r="27" spans="1:18" ht="14.25" thickBot="1">
      <c r="A27" s="81"/>
      <c r="B27" s="132"/>
      <c r="C27" s="133"/>
      <c r="D27" s="132"/>
      <c r="E27" s="133"/>
      <c r="F27" s="134"/>
      <c r="G27" s="133"/>
      <c r="H27" s="134"/>
      <c r="I27" s="133"/>
      <c r="J27" s="134"/>
      <c r="K27" s="133"/>
      <c r="L27" s="134"/>
      <c r="M27" s="133"/>
      <c r="N27" s="135"/>
      <c r="O27" s="136"/>
      <c r="P27" s="136"/>
      <c r="Q27" s="137"/>
      <c r="R27" s="90" t="s">
        <v>98</v>
      </c>
    </row>
    <row r="28" spans="1:18" ht="15" thickBot="1" thickTop="1">
      <c r="A28" s="83" t="s">
        <v>75</v>
      </c>
      <c r="B28" s="138">
        <v>45542</v>
      </c>
      <c r="C28" s="139">
        <v>280586057</v>
      </c>
      <c r="D28" s="138">
        <v>30844</v>
      </c>
      <c r="E28" s="139">
        <v>14634985</v>
      </c>
      <c r="F28" s="138">
        <v>76386</v>
      </c>
      <c r="G28" s="139">
        <v>295221042</v>
      </c>
      <c r="H28" s="138">
        <v>3334</v>
      </c>
      <c r="I28" s="140">
        <v>19294554</v>
      </c>
      <c r="J28" s="138">
        <v>4757</v>
      </c>
      <c r="K28" s="140">
        <v>899752</v>
      </c>
      <c r="L28" s="138">
        <v>80569</v>
      </c>
      <c r="M28" s="140">
        <v>276826241</v>
      </c>
      <c r="N28" s="141">
        <v>76537</v>
      </c>
      <c r="O28" s="142">
        <v>2156</v>
      </c>
      <c r="P28" s="142">
        <v>210</v>
      </c>
      <c r="Q28" s="143">
        <v>78903</v>
      </c>
      <c r="R28" s="91" t="s">
        <v>75</v>
      </c>
    </row>
    <row r="29" spans="1:18" ht="13.5">
      <c r="A29" s="199" t="s">
        <v>124</v>
      </c>
      <c r="B29" s="199"/>
      <c r="C29" s="199"/>
      <c r="D29" s="199"/>
      <c r="E29" s="199"/>
      <c r="F29" s="199"/>
      <c r="G29" s="199"/>
      <c r="H29" s="199"/>
      <c r="I29" s="199"/>
      <c r="J29" s="199"/>
      <c r="K29" s="112"/>
      <c r="L29" s="112"/>
      <c r="M29" s="112"/>
      <c r="N29" s="112"/>
      <c r="O29" s="112"/>
      <c r="P29" s="112"/>
      <c r="Q29" s="112"/>
      <c r="R29" s="112"/>
    </row>
  </sheetData>
  <sheetProtection/>
  <mergeCells count="16">
    <mergeCell ref="A29:J29"/>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&amp;R金沢国税局
消費税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2017-12-01T05:51:44Z</cp:lastPrinted>
  <dcterms:created xsi:type="dcterms:W3CDTF">2003-07-09T01:05:10Z</dcterms:created>
  <dcterms:modified xsi:type="dcterms:W3CDTF">2017-12-27T06:18:03Z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