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901" activeTab="3"/>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<sst xmlns="http://schemas.openxmlformats.org/spreadsheetml/2006/main" count="316" uniqueCount="134">
  <si>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</si>
  <si>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</si>
  <si>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</si>
  <si>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</si>
  <si>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</si>
  <si>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</si>
  <si>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</si>
  <si>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</si>
  <si>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</si>
  <si>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</si>
  <si>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</si>
  <si>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</si>
  <si>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</si>
  <si>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</si>
  <si>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</si>
  <si>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</si>
  <si>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</si>
  <si>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</si>
  <si>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</si>
  <si>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</si>
  <si>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</si>
  <si>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</si>
  <si>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</si>
  <si>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</si>
  <si>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</si>
  <si>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</si>
  <si>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</si>
  <si>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</si>
  <si>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</si>
  <si>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</si>
  <si>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平成23年度</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</si>
  <si>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</si>
  <si>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</si>
  <si>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</si>
  <si>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</si>
  <si>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</si>
  <si>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</si>
  <si>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</si>
  <si>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</si>
  <si>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</si>
  <si>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</si>
  <si>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</si>
  <si>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</si>
  <si>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</si>
  <si>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</si>
  <si>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</si>
  <si>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</si>
  <si>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</si>
  <si>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</si>
  <si>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</si>
  <si>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</si>
  <si>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</si>
  <si>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</si>
  <si>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</si>
  <si>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</si>
  <si>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</si>
  <si>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</si>
  <si>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</si>
  <si>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</si>
  <si>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</si>
  <si>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</si>
  <si>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</si>
  <si>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</si>
  <si>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</si>
  <si>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</si>
  <si>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</si>
  <si>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</si>
  <si>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</si>
  <si>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</si>
  <si>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</si>
  <si>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</si>
  <si>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</si>
  <si>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</si>
  <si>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</si>
  <si>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</si>
  <si>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</si>
  <si>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</si>
  <si>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（注）この表は「(1)　課税状況」の現年分を税務署別に示したものである（加算税を除く。）。</t>
  </si>
  <si>
    <t>(4)　税務署別課税状況（続）</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</si>
  <si>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</si>
  <si>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</si>
  <si>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</si>
  <si>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</si>
  <si>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</si>
  <si>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</si>
  <si>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</si>
  <si>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</si>
  <si>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</si>
  <si>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</si>
  <si>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</si>
  <si>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</si>
  <si>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</si>
  <si>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</si>
  <si>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</si>
  <si>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</si>
  <si>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</si>
  <si>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</si>
  <si>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</si>
  <si>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</si>
  <si>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</si>
  <si>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</si>
  <si>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</si>
  <si>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</si>
  <si>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（注）この表は「(1)　課税状況」の現年分及び「(3)　課税事業者等届出件数」を税務署別に示したものである（加算税を除く。）。</t>
  </si>
  <si>
    <t>平成24年度</t>
  </si>
  <si>
    <t>調査対象等：</t>
  </si>
  <si>
    <t>　「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</si>
  <si>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（注）１</t>
  </si>
  <si>
    <t>税関分は含まない。</t>
  </si>
  <si>
    <t>　　　２</t>
  </si>
  <si>
    <t>「件数欄」の「実」は、実件数を示す。</t>
  </si>
  <si>
    <t>(4)　税務署別課税状況</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</si>
  <si>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</si>
  <si>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</si>
  <si>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</si>
  <si>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</si>
  <si>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</si>
  <si>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</si>
  <si>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</si>
  <si>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</si>
  <si>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</si>
  <si>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</si>
  <si>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</si>
  <si>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</si>
  <si>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</si>
  <si>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</si>
  <si>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</si>
  <si>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</si>
  <si>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　「現年分」は、平成26年４月１日から平成27年３月31日までに終了した課税期間について、平成27年６月30日現在の申告（国・地方公共団体等については平成27年９月30日までの申告を含む。）及び処理（更正、決定等）による課税事績を「申告書及び決議書」に基づいて作成した。</t>
  </si>
  <si>
    <t>平成22年度</t>
  </si>
  <si>
    <t>平成25年度</t>
  </si>
  <si>
    <t>平成26年度</t>
  </si>
  <si>
    <t>調査対象等：平成26年度末（平成27年３月31日現在）の届出件数を示している。</t>
  </si>
  <si>
    <t xml:space="preserve">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</si>
</sst>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indent="1"/>
    </xf>
    <xf numFmtId="3" fontId="2" fillId="34" borderId="97" xfId="0" applyNumberFormat="1" applyFont="1" applyFill="1" applyBorder="1" applyAlignment="1">
      <alignment horizontal="right" vertical="center" indent="1"/>
    </xf>
    <xf numFmtId="3" fontId="2" fillId="34" borderId="98" xfId="0" applyNumberFormat="1" applyFont="1" applyFill="1" applyBorder="1" applyAlignment="1">
      <alignment horizontal="right" vertical="center" indent="1"/>
    </xf>
    <xf numFmtId="3" fontId="2" fillId="34" borderId="55" xfId="0" applyNumberFormat="1" applyFont="1" applyFill="1" applyBorder="1" applyAlignment="1">
      <alignment horizontal="right" vertical="center" indent="1"/>
    </xf>
    <xf numFmtId="3" fontId="2" fillId="34" borderId="9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2" fillId="0" borderId="54" xfId="0" applyFont="1" applyBorder="1" applyAlignment="1">
      <alignment horizontal="distributed" vertical="center"/>
    </xf>
    <xf numFmtId="0" fontId="2" fillId="0" borderId="115"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0"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22" xfId="61" applyFont="1" applyBorder="1" applyAlignment="1">
      <alignment horizontal="distributed"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4" xfId="61" applyFont="1" applyBorder="1" applyAlignment="1">
      <alignment horizontal="center" vertical="center" wrapText="1"/>
      <protection/>
    </xf>
    <xf numFmtId="0" fontId="2" fillId="0" borderId="39"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132" xfId="61" applyFont="1" applyBorder="1" applyAlignment="1">
      <alignment horizontal="left"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42" xfId="61" applyFont="1" applyBorder="1" applyAlignment="1">
      <alignment horizontal="center" vertical="center"/>
      <protection/>
    </xf>
    <xf numFmtId="0" fontId="2" fillId="0" borderId="12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1" t="s">
        <v>0</v>
      </c>
      <c r="B1" s="151"/>
      <c r="C1" s="151"/>
      <c r="D1" s="151"/>
      <c r="E1" s="151"/>
      <c r="F1" s="151"/>
      <c r="G1" s="151"/>
      <c r="H1" s="151"/>
      <c r="I1" s="151"/>
      <c r="J1" s="151"/>
      <c r="K1" s="151"/>
    </row>
    <row r="2" spans="1:11" ht="15">
      <c r="A2" s="54"/>
      <c r="B2" s="54"/>
      <c r="C2" s="54"/>
      <c r="D2" s="54"/>
      <c r="E2" s="54"/>
      <c r="F2" s="54"/>
      <c r="G2" s="54"/>
      <c r="H2" s="54"/>
      <c r="I2" s="54"/>
      <c r="J2" s="54"/>
      <c r="K2" s="54"/>
    </row>
    <row r="3" spans="1:11" ht="12" thickBot="1">
      <c r="A3" s="152" t="s">
        <v>24</v>
      </c>
      <c r="B3" s="152"/>
      <c r="C3" s="152"/>
      <c r="D3" s="152"/>
      <c r="E3" s="152"/>
      <c r="F3" s="152"/>
      <c r="G3" s="152"/>
      <c r="H3" s="152"/>
      <c r="I3" s="152"/>
      <c r="J3" s="152"/>
      <c r="K3" s="152"/>
    </row>
    <row r="4" spans="1:11" ht="24" customHeight="1">
      <c r="A4" s="153" t="s">
        <v>1</v>
      </c>
      <c r="B4" s="154"/>
      <c r="C4" s="157" t="s">
        <v>15</v>
      </c>
      <c r="D4" s="158"/>
      <c r="E4" s="159"/>
      <c r="F4" s="157" t="s">
        <v>16</v>
      </c>
      <c r="G4" s="158"/>
      <c r="H4" s="159"/>
      <c r="I4" s="157" t="s">
        <v>17</v>
      </c>
      <c r="J4" s="158"/>
      <c r="K4" s="160"/>
    </row>
    <row r="5" spans="1:11" ht="24" customHeight="1">
      <c r="A5" s="155"/>
      <c r="B5" s="156"/>
      <c r="C5" s="161" t="s">
        <v>2</v>
      </c>
      <c r="D5" s="162"/>
      <c r="E5" s="6" t="s">
        <v>3</v>
      </c>
      <c r="F5" s="161" t="s">
        <v>2</v>
      </c>
      <c r="G5" s="162"/>
      <c r="H5" s="6" t="s">
        <v>3</v>
      </c>
      <c r="I5" s="161" t="s">
        <v>2</v>
      </c>
      <c r="J5" s="162"/>
      <c r="K5" s="14" t="s">
        <v>3</v>
      </c>
    </row>
    <row r="6" spans="1:11" ht="12" customHeight="1">
      <c r="A6" s="40"/>
      <c r="B6" s="43"/>
      <c r="C6" s="41"/>
      <c r="D6" s="33" t="s">
        <v>26</v>
      </c>
      <c r="E6" s="32" t="s">
        <v>25</v>
      </c>
      <c r="F6" s="41"/>
      <c r="G6" s="33" t="s">
        <v>26</v>
      </c>
      <c r="H6" s="32" t="s">
        <v>25</v>
      </c>
      <c r="I6" s="41"/>
      <c r="J6" s="33" t="s">
        <v>26</v>
      </c>
      <c r="K6" s="42" t="s">
        <v>25</v>
      </c>
    </row>
    <row r="7" spans="1:11" ht="30" customHeight="1">
      <c r="A7" s="163" t="s">
        <v>27</v>
      </c>
      <c r="B7" s="37" t="s">
        <v>18</v>
      </c>
      <c r="C7" s="15"/>
      <c r="D7" s="93">
        <v>12127</v>
      </c>
      <c r="E7" s="38">
        <v>7606444</v>
      </c>
      <c r="F7" s="18"/>
      <c r="G7" s="93">
        <v>32630</v>
      </c>
      <c r="H7" s="38">
        <v>230576403</v>
      </c>
      <c r="I7" s="18"/>
      <c r="J7" s="93">
        <v>44757</v>
      </c>
      <c r="K7" s="39">
        <v>238182847</v>
      </c>
    </row>
    <row r="8" spans="1:11" ht="30" customHeight="1">
      <c r="A8" s="164"/>
      <c r="B8" s="23" t="s">
        <v>19</v>
      </c>
      <c r="C8" s="15"/>
      <c r="D8" s="94">
        <v>19213</v>
      </c>
      <c r="E8" s="95">
        <v>6928068</v>
      </c>
      <c r="F8" s="18"/>
      <c r="G8" s="94">
        <v>12699</v>
      </c>
      <c r="H8" s="95">
        <v>6348679</v>
      </c>
      <c r="I8" s="18"/>
      <c r="J8" s="94">
        <v>31912</v>
      </c>
      <c r="K8" s="96">
        <v>13276747</v>
      </c>
    </row>
    <row r="9" spans="1:11" s="3" customFormat="1" ht="30" customHeight="1">
      <c r="A9" s="164"/>
      <c r="B9" s="24" t="s">
        <v>20</v>
      </c>
      <c r="C9" s="16"/>
      <c r="D9" s="97">
        <v>31340</v>
      </c>
      <c r="E9" s="98">
        <v>14534512</v>
      </c>
      <c r="F9" s="16"/>
      <c r="G9" s="97">
        <v>45329</v>
      </c>
      <c r="H9" s="98">
        <v>236925082</v>
      </c>
      <c r="I9" s="16"/>
      <c r="J9" s="97">
        <v>76669</v>
      </c>
      <c r="K9" s="99">
        <v>251459594</v>
      </c>
    </row>
    <row r="10" spans="1:11" ht="30" customHeight="1">
      <c r="A10" s="165"/>
      <c r="B10" s="25" t="s">
        <v>21</v>
      </c>
      <c r="C10" s="15"/>
      <c r="D10" s="100">
        <v>788</v>
      </c>
      <c r="E10" s="101">
        <v>355536</v>
      </c>
      <c r="F10" s="15"/>
      <c r="G10" s="100">
        <v>2426</v>
      </c>
      <c r="H10" s="101">
        <v>18794523</v>
      </c>
      <c r="I10" s="15"/>
      <c r="J10" s="100">
        <v>3214</v>
      </c>
      <c r="K10" s="102">
        <v>19150059</v>
      </c>
    </row>
    <row r="11" spans="1:11" ht="30" customHeight="1">
      <c r="A11" s="166" t="s">
        <v>28</v>
      </c>
      <c r="B11" s="55" t="s">
        <v>22</v>
      </c>
      <c r="C11" s="9"/>
      <c r="D11" s="103">
        <v>2004</v>
      </c>
      <c r="E11" s="20">
        <v>261024</v>
      </c>
      <c r="F11" s="34"/>
      <c r="G11" s="104">
        <v>1860</v>
      </c>
      <c r="H11" s="20">
        <v>640572</v>
      </c>
      <c r="I11" s="34"/>
      <c r="J11" s="104">
        <v>3864</v>
      </c>
      <c r="K11" s="21">
        <v>901596</v>
      </c>
    </row>
    <row r="12" spans="1:11" ht="30" customHeight="1">
      <c r="A12" s="167"/>
      <c r="B12" s="56" t="s">
        <v>23</v>
      </c>
      <c r="C12" s="35"/>
      <c r="D12" s="94">
        <v>173</v>
      </c>
      <c r="E12" s="95">
        <v>30673</v>
      </c>
      <c r="F12" s="36"/>
      <c r="G12" s="105">
        <v>293</v>
      </c>
      <c r="H12" s="95">
        <v>304783</v>
      </c>
      <c r="I12" s="36"/>
      <c r="J12" s="105">
        <v>466</v>
      </c>
      <c r="K12" s="96">
        <v>335456</v>
      </c>
    </row>
    <row r="13" spans="1:11" s="3" customFormat="1" ht="30" customHeight="1">
      <c r="A13" s="168" t="s">
        <v>6</v>
      </c>
      <c r="B13" s="169"/>
      <c r="C13" s="26" t="s">
        <v>14</v>
      </c>
      <c r="D13" s="106">
        <v>32764</v>
      </c>
      <c r="E13" s="107">
        <v>14409328</v>
      </c>
      <c r="F13" s="26" t="s">
        <v>14</v>
      </c>
      <c r="G13" s="106">
        <v>48028</v>
      </c>
      <c r="H13" s="107">
        <v>218466348</v>
      </c>
      <c r="I13" s="26" t="s">
        <v>14</v>
      </c>
      <c r="J13" s="106">
        <v>80792</v>
      </c>
      <c r="K13" s="108">
        <v>232875675</v>
      </c>
    </row>
    <row r="14" spans="1:11" ht="30" customHeight="1" thickBot="1">
      <c r="A14" s="170" t="s">
        <v>7</v>
      </c>
      <c r="B14" s="171"/>
      <c r="C14" s="17"/>
      <c r="D14" s="109">
        <v>1831</v>
      </c>
      <c r="E14" s="110">
        <v>57981</v>
      </c>
      <c r="F14" s="19"/>
      <c r="G14" s="109">
        <v>1439</v>
      </c>
      <c r="H14" s="110">
        <v>91361</v>
      </c>
      <c r="I14" s="19"/>
      <c r="J14" s="109">
        <v>3270</v>
      </c>
      <c r="K14" s="111">
        <v>149342</v>
      </c>
    </row>
    <row r="15" spans="1:11" s="4" customFormat="1" ht="37.5" customHeight="1">
      <c r="A15" s="53" t="s">
        <v>105</v>
      </c>
      <c r="B15" s="172" t="s">
        <v>128</v>
      </c>
      <c r="C15" s="172"/>
      <c r="D15" s="172"/>
      <c r="E15" s="172"/>
      <c r="F15" s="172"/>
      <c r="G15" s="172"/>
      <c r="H15" s="172"/>
      <c r="I15" s="172"/>
      <c r="J15" s="172"/>
      <c r="K15" s="172"/>
    </row>
    <row r="16" spans="2:11" ht="45" customHeight="1">
      <c r="B16" s="173" t="s">
        <v>106</v>
      </c>
      <c r="C16" s="173"/>
      <c r="D16" s="173"/>
      <c r="E16" s="173"/>
      <c r="F16" s="173"/>
      <c r="G16" s="173"/>
      <c r="H16" s="173"/>
      <c r="I16" s="173"/>
      <c r="J16" s="173"/>
      <c r="K16" s="173"/>
    </row>
    <row r="17" spans="1:2" ht="14.25" customHeight="1">
      <c r="A17" s="1" t="s">
        <v>107</v>
      </c>
      <c r="B17" s="1" t="s">
        <v>108</v>
      </c>
    </row>
    <row r="18" spans="1:2" ht="11.25">
      <c r="A18" s="59" t="s">
        <v>109</v>
      </c>
      <c r="B18" s="1" t="s">
        <v>110</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53" t="s">
        <v>1</v>
      </c>
      <c r="B2" s="154"/>
      <c r="C2" s="174" t="s">
        <v>123</v>
      </c>
      <c r="D2" s="174"/>
      <c r="E2" s="174" t="s">
        <v>124</v>
      </c>
      <c r="F2" s="174"/>
      <c r="G2" s="175" t="s">
        <v>125</v>
      </c>
      <c r="H2" s="176"/>
    </row>
    <row r="3" spans="1:8" s="1" customFormat="1" ht="15" customHeight="1">
      <c r="A3" s="155"/>
      <c r="B3" s="156"/>
      <c r="C3" s="9" t="s">
        <v>126</v>
      </c>
      <c r="D3" s="6" t="s">
        <v>127</v>
      </c>
      <c r="E3" s="9" t="s">
        <v>126</v>
      </c>
      <c r="F3" s="7" t="s">
        <v>127</v>
      </c>
      <c r="G3" s="9" t="s">
        <v>126</v>
      </c>
      <c r="H3" s="8" t="s">
        <v>127</v>
      </c>
    </row>
    <row r="4" spans="1:8" s="10" customFormat="1" ht="15" customHeight="1">
      <c r="A4" s="45"/>
      <c r="B4" s="6"/>
      <c r="C4" s="46" t="s">
        <v>4</v>
      </c>
      <c r="D4" s="47" t="s">
        <v>5</v>
      </c>
      <c r="E4" s="46" t="s">
        <v>4</v>
      </c>
      <c r="F4" s="47" t="s">
        <v>5</v>
      </c>
      <c r="G4" s="46" t="s">
        <v>4</v>
      </c>
      <c r="H4" s="48" t="s">
        <v>5</v>
      </c>
    </row>
    <row r="5" spans="1:8" s="57" customFormat="1" ht="30" customHeight="1">
      <c r="A5" s="179" t="s">
        <v>129</v>
      </c>
      <c r="B5" s="37" t="s">
        <v>12</v>
      </c>
      <c r="C5" s="44">
        <v>36530</v>
      </c>
      <c r="D5" s="38">
        <v>11004442</v>
      </c>
      <c r="E5" s="44">
        <v>47786</v>
      </c>
      <c r="F5" s="38">
        <v>166358354</v>
      </c>
      <c r="G5" s="44">
        <v>84316</v>
      </c>
      <c r="H5" s="39">
        <v>177362796</v>
      </c>
    </row>
    <row r="6" spans="1:8" s="57" customFormat="1" ht="30" customHeight="1">
      <c r="A6" s="180"/>
      <c r="B6" s="25" t="s">
        <v>13</v>
      </c>
      <c r="C6" s="28">
        <v>754</v>
      </c>
      <c r="D6" s="29">
        <v>242445</v>
      </c>
      <c r="E6" s="28">
        <v>2145</v>
      </c>
      <c r="F6" s="29">
        <v>7848045</v>
      </c>
      <c r="G6" s="28">
        <v>2899</v>
      </c>
      <c r="H6" s="30">
        <v>8090490</v>
      </c>
    </row>
    <row r="7" spans="1:8" s="57" customFormat="1" ht="30" customHeight="1">
      <c r="A7" s="177" t="s">
        <v>30</v>
      </c>
      <c r="B7" s="22" t="s">
        <v>12</v>
      </c>
      <c r="C7" s="27">
        <v>32759</v>
      </c>
      <c r="D7" s="20">
        <v>10345484</v>
      </c>
      <c r="E7" s="27">
        <v>46674</v>
      </c>
      <c r="F7" s="20">
        <v>164480756</v>
      </c>
      <c r="G7" s="27">
        <v>79433</v>
      </c>
      <c r="H7" s="21">
        <v>174826241</v>
      </c>
    </row>
    <row r="8" spans="1:8" s="57" customFormat="1" ht="30" customHeight="1">
      <c r="A8" s="181"/>
      <c r="B8" s="25" t="s">
        <v>13</v>
      </c>
      <c r="C8" s="28">
        <v>650</v>
      </c>
      <c r="D8" s="29">
        <v>208236</v>
      </c>
      <c r="E8" s="28">
        <v>2080</v>
      </c>
      <c r="F8" s="29">
        <v>9155011</v>
      </c>
      <c r="G8" s="28">
        <v>2730</v>
      </c>
      <c r="H8" s="30">
        <v>9363247</v>
      </c>
    </row>
    <row r="9" spans="1:8" s="57" customFormat="1" ht="30" customHeight="1">
      <c r="A9" s="179" t="s">
        <v>104</v>
      </c>
      <c r="B9" s="22" t="s">
        <v>12</v>
      </c>
      <c r="C9" s="27">
        <v>31805</v>
      </c>
      <c r="D9" s="20">
        <v>10297561</v>
      </c>
      <c r="E9" s="27">
        <v>46056</v>
      </c>
      <c r="F9" s="20">
        <v>162945419</v>
      </c>
      <c r="G9" s="27">
        <v>77861</v>
      </c>
      <c r="H9" s="21">
        <v>173242980</v>
      </c>
    </row>
    <row r="10" spans="1:8" s="57" customFormat="1" ht="30" customHeight="1">
      <c r="A10" s="180"/>
      <c r="B10" s="25" t="s">
        <v>13</v>
      </c>
      <c r="C10" s="28">
        <v>629</v>
      </c>
      <c r="D10" s="29">
        <v>170931</v>
      </c>
      <c r="E10" s="28">
        <v>1938</v>
      </c>
      <c r="F10" s="29">
        <v>9284777</v>
      </c>
      <c r="G10" s="28">
        <v>2567</v>
      </c>
      <c r="H10" s="30">
        <v>9455708</v>
      </c>
    </row>
    <row r="11" spans="1:8" s="57" customFormat="1" ht="30" customHeight="1">
      <c r="A11" s="177" t="s">
        <v>130</v>
      </c>
      <c r="B11" s="22" t="s">
        <v>12</v>
      </c>
      <c r="C11" s="27">
        <v>31599</v>
      </c>
      <c r="D11" s="20">
        <v>10091012</v>
      </c>
      <c r="E11" s="27">
        <v>45677</v>
      </c>
      <c r="F11" s="20">
        <v>164837273</v>
      </c>
      <c r="G11" s="27">
        <v>77276</v>
      </c>
      <c r="H11" s="21">
        <v>174928284</v>
      </c>
    </row>
    <row r="12" spans="1:8" s="57" customFormat="1" ht="30" customHeight="1">
      <c r="A12" s="181"/>
      <c r="B12" s="25" t="s">
        <v>13</v>
      </c>
      <c r="C12" s="28">
        <v>679</v>
      </c>
      <c r="D12" s="29">
        <v>237137</v>
      </c>
      <c r="E12" s="28">
        <v>2188</v>
      </c>
      <c r="F12" s="29">
        <v>8927235</v>
      </c>
      <c r="G12" s="28">
        <v>2867</v>
      </c>
      <c r="H12" s="30">
        <v>9164372</v>
      </c>
    </row>
    <row r="13" spans="1:8" s="1" customFormat="1" ht="30" customHeight="1">
      <c r="A13" s="177" t="s">
        <v>131</v>
      </c>
      <c r="B13" s="22" t="s">
        <v>12</v>
      </c>
      <c r="C13" s="27">
        <v>31340</v>
      </c>
      <c r="D13" s="20">
        <v>14534512</v>
      </c>
      <c r="E13" s="27">
        <v>45329</v>
      </c>
      <c r="F13" s="20">
        <v>236925082</v>
      </c>
      <c r="G13" s="27">
        <v>76669</v>
      </c>
      <c r="H13" s="21">
        <v>251459594</v>
      </c>
    </row>
    <row r="14" spans="1:8" s="1" customFormat="1" ht="30" customHeight="1" thickBot="1">
      <c r="A14" s="178"/>
      <c r="B14" s="31" t="s">
        <v>13</v>
      </c>
      <c r="C14" s="148">
        <v>788</v>
      </c>
      <c r="D14" s="149">
        <v>355536</v>
      </c>
      <c r="E14" s="148">
        <v>2426</v>
      </c>
      <c r="F14" s="149">
        <v>18794523</v>
      </c>
      <c r="G14" s="148">
        <v>3214</v>
      </c>
      <c r="H14" s="150">
        <v>19150059</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4" sqref="A4:D4"/>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121</v>
      </c>
    </row>
    <row r="2" spans="1:4" s="4" customFormat="1" ht="19.5" customHeight="1">
      <c r="A2" s="11" t="s">
        <v>8</v>
      </c>
      <c r="B2" s="12" t="s">
        <v>9</v>
      </c>
      <c r="C2" s="13" t="s">
        <v>10</v>
      </c>
      <c r="D2" s="60" t="s">
        <v>122</v>
      </c>
    </row>
    <row r="3" spans="1:4" s="10" customFormat="1" ht="15" customHeight="1">
      <c r="A3" s="49" t="s">
        <v>4</v>
      </c>
      <c r="B3" s="50" t="s">
        <v>4</v>
      </c>
      <c r="C3" s="51" t="s">
        <v>4</v>
      </c>
      <c r="D3" s="52" t="s">
        <v>4</v>
      </c>
    </row>
    <row r="4" spans="1:9" s="4" customFormat="1" ht="30" customHeight="1" thickBot="1">
      <c r="A4" s="144">
        <v>77294</v>
      </c>
      <c r="B4" s="145">
        <v>1912</v>
      </c>
      <c r="C4" s="146">
        <v>202</v>
      </c>
      <c r="D4" s="147">
        <v>79408</v>
      </c>
      <c r="E4" s="5"/>
      <c r="G4" s="5"/>
      <c r="I4" s="5"/>
    </row>
    <row r="5" spans="1:4" s="4" customFormat="1" ht="15" customHeight="1">
      <c r="A5" s="182" t="s">
        <v>132</v>
      </c>
      <c r="B5" s="182"/>
      <c r="C5" s="182"/>
      <c r="D5" s="182"/>
    </row>
    <row r="6" spans="1:4" s="4" customFormat="1" ht="15" customHeight="1">
      <c r="A6" s="183" t="s">
        <v>11</v>
      </c>
      <c r="B6" s="183"/>
      <c r="C6" s="183"/>
      <c r="D6" s="18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(H26)</oddFooter>
  </headerFooter>
</worksheet>
</file>

<file path=xl/worksheets/sheet4.xml><?xml version="1.0" encoding="utf-8"?>
<worksheet xmlns="http://schemas.openxmlformats.org/spreadsheetml/2006/main" xmlns:r="http://schemas.openxmlformats.org/officeDocument/2006/relationships">
  <dimension ref="A1:N29"/>
  <sheetViews>
    <sheetView tabSelected="1" view="pageBreakPreview" zoomScaleSheetLayoutView="100" zoomScalePageLayoutView="0" workbookViewId="0" topLeftCell="C1">
      <selection activeCell="M34" sqref="M34"/>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111</v>
      </c>
      <c r="B1" s="61"/>
      <c r="C1" s="61"/>
      <c r="D1" s="61"/>
      <c r="E1" s="61"/>
      <c r="F1" s="61"/>
      <c r="G1" s="61"/>
      <c r="H1" s="61"/>
      <c r="I1" s="61"/>
      <c r="J1" s="61"/>
      <c r="K1" s="61"/>
      <c r="L1" s="62"/>
      <c r="M1" s="62"/>
      <c r="N1" s="112"/>
    </row>
    <row r="2" spans="1:14" ht="14.25" thickBot="1">
      <c r="A2" s="184" t="s">
        <v>31</v>
      </c>
      <c r="B2" s="184"/>
      <c r="C2" s="184"/>
      <c r="D2" s="184"/>
      <c r="E2" s="184"/>
      <c r="F2" s="184"/>
      <c r="G2" s="184"/>
      <c r="H2" s="62"/>
      <c r="I2" s="62"/>
      <c r="J2" s="62"/>
      <c r="K2" s="62"/>
      <c r="L2" s="62"/>
      <c r="M2" s="62"/>
      <c r="N2" s="62"/>
    </row>
    <row r="3" spans="1:14" ht="13.5">
      <c r="A3" s="185" t="s">
        <v>112</v>
      </c>
      <c r="B3" s="188" t="s">
        <v>113</v>
      </c>
      <c r="C3" s="188"/>
      <c r="D3" s="188"/>
      <c r="E3" s="188"/>
      <c r="F3" s="188"/>
      <c r="G3" s="188"/>
      <c r="H3" s="189" t="s">
        <v>13</v>
      </c>
      <c r="I3" s="190"/>
      <c r="J3" s="193" t="s">
        <v>34</v>
      </c>
      <c r="K3" s="190"/>
      <c r="L3" s="189" t="s">
        <v>35</v>
      </c>
      <c r="M3" s="190"/>
      <c r="N3" s="194" t="s">
        <v>36</v>
      </c>
    </row>
    <row r="4" spans="1:14" ht="13.5">
      <c r="A4" s="186"/>
      <c r="B4" s="197" t="s">
        <v>114</v>
      </c>
      <c r="C4" s="197"/>
      <c r="D4" s="191" t="s">
        <v>37</v>
      </c>
      <c r="E4" s="198"/>
      <c r="F4" s="191" t="s">
        <v>38</v>
      </c>
      <c r="G4" s="198"/>
      <c r="H4" s="191"/>
      <c r="I4" s="192"/>
      <c r="J4" s="191"/>
      <c r="K4" s="192"/>
      <c r="L4" s="191"/>
      <c r="M4" s="192"/>
      <c r="N4" s="195"/>
    </row>
    <row r="5" spans="1:14" ht="22.5">
      <c r="A5" s="187"/>
      <c r="B5" s="63" t="s">
        <v>115</v>
      </c>
      <c r="C5" s="64" t="s">
        <v>116</v>
      </c>
      <c r="D5" s="63" t="s">
        <v>115</v>
      </c>
      <c r="E5" s="64" t="s">
        <v>116</v>
      </c>
      <c r="F5" s="63" t="s">
        <v>115</v>
      </c>
      <c r="G5" s="65" t="s">
        <v>117</v>
      </c>
      <c r="H5" s="63" t="s">
        <v>115</v>
      </c>
      <c r="I5" s="66" t="s">
        <v>118</v>
      </c>
      <c r="J5" s="63" t="s">
        <v>115</v>
      </c>
      <c r="K5" s="66" t="s">
        <v>119</v>
      </c>
      <c r="L5" s="63" t="s">
        <v>115</v>
      </c>
      <c r="M5" s="67" t="s">
        <v>120</v>
      </c>
      <c r="N5" s="196"/>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45</v>
      </c>
      <c r="B7" s="113">
        <f>_xlfn.COMPOUNDVALUE(1)</f>
        <v>1431</v>
      </c>
      <c r="C7" s="114">
        <v>1059837</v>
      </c>
      <c r="D7" s="113">
        <f>_xlfn.COMPOUNDVALUE(2)</f>
        <v>2416</v>
      </c>
      <c r="E7" s="114">
        <v>910472</v>
      </c>
      <c r="F7" s="113">
        <f>_xlfn.COMPOUNDVALUE(3)</f>
        <v>3847</v>
      </c>
      <c r="G7" s="114">
        <v>1970309</v>
      </c>
      <c r="H7" s="113">
        <f>_xlfn.COMPOUNDVALUE(4)</f>
        <v>114</v>
      </c>
      <c r="I7" s="115">
        <v>37561</v>
      </c>
      <c r="J7" s="113">
        <v>243</v>
      </c>
      <c r="K7" s="115">
        <v>28037</v>
      </c>
      <c r="L7" s="113">
        <f>_xlfn.COMPOUNDVALUE(4)</f>
        <v>4039</v>
      </c>
      <c r="M7" s="115">
        <v>1960785</v>
      </c>
      <c r="N7" s="92" t="s">
        <v>46</v>
      </c>
    </row>
    <row r="8" spans="1:14" ht="13.5">
      <c r="A8" s="75" t="s">
        <v>47</v>
      </c>
      <c r="B8" s="118">
        <f>_xlfn.COMPOUNDVALUE(5)</f>
        <v>1314</v>
      </c>
      <c r="C8" s="119">
        <v>893960</v>
      </c>
      <c r="D8" s="118">
        <f>_xlfn.COMPOUNDVALUE(6)</f>
        <v>1959</v>
      </c>
      <c r="E8" s="119">
        <v>698090</v>
      </c>
      <c r="F8" s="118">
        <f>_xlfn.COMPOUNDVALUE(7)</f>
        <v>3273</v>
      </c>
      <c r="G8" s="119">
        <v>1592050</v>
      </c>
      <c r="H8" s="118">
        <f>_xlfn.COMPOUNDVALUE(8)</f>
        <v>74</v>
      </c>
      <c r="I8" s="120">
        <v>37189</v>
      </c>
      <c r="J8" s="118">
        <v>282</v>
      </c>
      <c r="K8" s="120">
        <v>20671</v>
      </c>
      <c r="L8" s="118">
        <f>_xlfn.COMPOUNDVALUE(8)</f>
        <v>3432</v>
      </c>
      <c r="M8" s="120">
        <v>1575531</v>
      </c>
      <c r="N8" s="76" t="s">
        <v>48</v>
      </c>
    </row>
    <row r="9" spans="1:14" ht="13.5">
      <c r="A9" s="75" t="s">
        <v>49</v>
      </c>
      <c r="B9" s="118">
        <f>_xlfn.COMPOUNDVALUE(9)</f>
        <v>768</v>
      </c>
      <c r="C9" s="119">
        <v>524786</v>
      </c>
      <c r="D9" s="118">
        <f>_xlfn.COMPOUNDVALUE(10)</f>
        <v>1405</v>
      </c>
      <c r="E9" s="119">
        <v>508122</v>
      </c>
      <c r="F9" s="118">
        <f>_xlfn.COMPOUNDVALUE(11)</f>
        <v>2173</v>
      </c>
      <c r="G9" s="119">
        <v>1032908</v>
      </c>
      <c r="H9" s="118">
        <f>_xlfn.COMPOUNDVALUE(12)</f>
        <v>49</v>
      </c>
      <c r="I9" s="120">
        <v>15027</v>
      </c>
      <c r="J9" s="118">
        <v>178</v>
      </c>
      <c r="K9" s="120">
        <v>9259</v>
      </c>
      <c r="L9" s="118">
        <f>_xlfn.COMPOUNDVALUE(12)</f>
        <v>2243</v>
      </c>
      <c r="M9" s="120">
        <v>1027139</v>
      </c>
      <c r="N9" s="76" t="s">
        <v>50</v>
      </c>
    </row>
    <row r="10" spans="1:14" ht="13.5">
      <c r="A10" s="75" t="s">
        <v>51</v>
      </c>
      <c r="B10" s="118">
        <f>_xlfn.COMPOUNDVALUE(13)</f>
        <v>521</v>
      </c>
      <c r="C10" s="119">
        <v>312815</v>
      </c>
      <c r="D10" s="118">
        <f>_xlfn.COMPOUNDVALUE(14)</f>
        <v>912</v>
      </c>
      <c r="E10" s="119">
        <v>319561</v>
      </c>
      <c r="F10" s="118">
        <f>_xlfn.COMPOUNDVALUE(15)</f>
        <v>1433</v>
      </c>
      <c r="G10" s="119">
        <v>632376</v>
      </c>
      <c r="H10" s="118">
        <f>_xlfn.COMPOUNDVALUE(16)</f>
        <v>25</v>
      </c>
      <c r="I10" s="120">
        <v>6566</v>
      </c>
      <c r="J10" s="118">
        <v>133</v>
      </c>
      <c r="K10" s="120">
        <v>15885</v>
      </c>
      <c r="L10" s="118">
        <f>_xlfn.COMPOUNDVALUE(16)</f>
        <v>1482</v>
      </c>
      <c r="M10" s="120">
        <v>641695</v>
      </c>
      <c r="N10" s="76" t="s">
        <v>52</v>
      </c>
    </row>
    <row r="11" spans="1:14" ht="13.5">
      <c r="A11" s="77" t="s">
        <v>53</v>
      </c>
      <c r="B11" s="121">
        <v>4034</v>
      </c>
      <c r="C11" s="122">
        <v>2791398</v>
      </c>
      <c r="D11" s="121">
        <v>6692</v>
      </c>
      <c r="E11" s="122">
        <v>2436244</v>
      </c>
      <c r="F11" s="121">
        <v>10726</v>
      </c>
      <c r="G11" s="122">
        <v>5227642</v>
      </c>
      <c r="H11" s="121">
        <v>262</v>
      </c>
      <c r="I11" s="123">
        <v>96344</v>
      </c>
      <c r="J11" s="121">
        <v>836</v>
      </c>
      <c r="K11" s="123">
        <v>73852</v>
      </c>
      <c r="L11" s="121">
        <v>11196</v>
      </c>
      <c r="M11" s="123">
        <v>5205151</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_xlfn.COMPOUNDVALUE(17)</f>
        <v>2191</v>
      </c>
      <c r="C13" s="114">
        <v>1264859</v>
      </c>
      <c r="D13" s="113">
        <f>_xlfn.COMPOUNDVALUE(18)</f>
        <v>3303</v>
      </c>
      <c r="E13" s="114">
        <v>1246789</v>
      </c>
      <c r="F13" s="113">
        <f>_xlfn.COMPOUNDVALUE(19)</f>
        <v>5494</v>
      </c>
      <c r="G13" s="114">
        <v>2511648</v>
      </c>
      <c r="H13" s="113">
        <f>_xlfn.COMPOUNDVALUE(20)</f>
        <v>144</v>
      </c>
      <c r="I13" s="115">
        <v>74417</v>
      </c>
      <c r="J13" s="113">
        <v>329</v>
      </c>
      <c r="K13" s="115">
        <v>39092</v>
      </c>
      <c r="L13" s="113">
        <f>_xlfn.COMPOUNDVALUE(20)</f>
        <v>5736</v>
      </c>
      <c r="M13" s="115">
        <v>2476322</v>
      </c>
      <c r="N13" s="74" t="s">
        <v>55</v>
      </c>
    </row>
    <row r="14" spans="1:14" ht="13.5">
      <c r="A14" s="75" t="s">
        <v>56</v>
      </c>
      <c r="B14" s="118">
        <f>_xlfn.COMPOUNDVALUE(21)</f>
        <v>469</v>
      </c>
      <c r="C14" s="119">
        <v>271288</v>
      </c>
      <c r="D14" s="118">
        <f>_xlfn.COMPOUNDVALUE(22)</f>
        <v>869</v>
      </c>
      <c r="E14" s="119">
        <v>289689</v>
      </c>
      <c r="F14" s="118">
        <f>_xlfn.COMPOUNDVALUE(23)</f>
        <v>1338</v>
      </c>
      <c r="G14" s="119">
        <v>560977</v>
      </c>
      <c r="H14" s="118">
        <f>_xlfn.COMPOUNDVALUE(24)</f>
        <v>44</v>
      </c>
      <c r="I14" s="120">
        <v>21251</v>
      </c>
      <c r="J14" s="118">
        <v>77</v>
      </c>
      <c r="K14" s="120">
        <v>4466</v>
      </c>
      <c r="L14" s="118">
        <f>_xlfn.COMPOUNDVALUE(24)</f>
        <v>1395</v>
      </c>
      <c r="M14" s="120">
        <v>544191</v>
      </c>
      <c r="N14" s="76" t="s">
        <v>56</v>
      </c>
    </row>
    <row r="15" spans="1:14" ht="13.5">
      <c r="A15" s="75" t="s">
        <v>57</v>
      </c>
      <c r="B15" s="118">
        <f>_xlfn.COMPOUNDVALUE(25)</f>
        <v>922</v>
      </c>
      <c r="C15" s="119">
        <v>810817</v>
      </c>
      <c r="D15" s="118">
        <f>_xlfn.COMPOUNDVALUE(26)</f>
        <v>1641</v>
      </c>
      <c r="E15" s="119">
        <v>573550</v>
      </c>
      <c r="F15" s="118">
        <f>_xlfn.COMPOUNDVALUE(27)</f>
        <v>2563</v>
      </c>
      <c r="G15" s="119">
        <v>1384367</v>
      </c>
      <c r="H15" s="118">
        <f>_xlfn.COMPOUNDVALUE(28)</f>
        <v>47</v>
      </c>
      <c r="I15" s="120">
        <v>16673</v>
      </c>
      <c r="J15" s="118">
        <v>186</v>
      </c>
      <c r="K15" s="120">
        <v>27053</v>
      </c>
      <c r="L15" s="118">
        <f>_xlfn.COMPOUNDVALUE(28)</f>
        <v>2667</v>
      </c>
      <c r="M15" s="120">
        <v>1394746</v>
      </c>
      <c r="N15" s="76" t="s">
        <v>57</v>
      </c>
    </row>
    <row r="16" spans="1:14" ht="13.5">
      <c r="A16" s="75" t="s">
        <v>58</v>
      </c>
      <c r="B16" s="118">
        <f>_xlfn.COMPOUNDVALUE(29)</f>
        <v>330</v>
      </c>
      <c r="C16" s="119">
        <v>201206</v>
      </c>
      <c r="D16" s="118">
        <f>_xlfn.COMPOUNDVALUE(30)</f>
        <v>668</v>
      </c>
      <c r="E16" s="119">
        <v>220299</v>
      </c>
      <c r="F16" s="118">
        <f>_xlfn.COMPOUNDVALUE(31)</f>
        <v>998</v>
      </c>
      <c r="G16" s="119">
        <v>421505</v>
      </c>
      <c r="H16" s="118">
        <f>_xlfn.COMPOUNDVALUE(32)</f>
        <v>10</v>
      </c>
      <c r="I16" s="120">
        <v>6031</v>
      </c>
      <c r="J16" s="118">
        <v>63</v>
      </c>
      <c r="K16" s="120">
        <v>4517</v>
      </c>
      <c r="L16" s="118">
        <f>_xlfn.COMPOUNDVALUE(32)</f>
        <v>1019</v>
      </c>
      <c r="M16" s="120">
        <v>419991</v>
      </c>
      <c r="N16" s="76" t="s">
        <v>58</v>
      </c>
    </row>
    <row r="17" spans="1:14" ht="13.5">
      <c r="A17" s="75" t="s">
        <v>59</v>
      </c>
      <c r="B17" s="118">
        <f>_xlfn.COMPOUNDVALUE(33)</f>
        <v>574</v>
      </c>
      <c r="C17" s="119">
        <v>293539</v>
      </c>
      <c r="D17" s="118">
        <f>_xlfn.COMPOUNDVALUE(34)</f>
        <v>911</v>
      </c>
      <c r="E17" s="119">
        <v>319446</v>
      </c>
      <c r="F17" s="118">
        <f>_xlfn.COMPOUNDVALUE(35)</f>
        <v>1485</v>
      </c>
      <c r="G17" s="119">
        <v>612985</v>
      </c>
      <c r="H17" s="118">
        <f>_xlfn.COMPOUNDVALUE(36)</f>
        <v>34</v>
      </c>
      <c r="I17" s="120">
        <v>14121</v>
      </c>
      <c r="J17" s="118">
        <v>113</v>
      </c>
      <c r="K17" s="120">
        <v>13458</v>
      </c>
      <c r="L17" s="118">
        <f>_xlfn.COMPOUNDVALUE(36)</f>
        <v>1580</v>
      </c>
      <c r="M17" s="120">
        <v>612322</v>
      </c>
      <c r="N17" s="76" t="s">
        <v>59</v>
      </c>
    </row>
    <row r="18" spans="1:14" ht="13.5">
      <c r="A18" s="77" t="s">
        <v>60</v>
      </c>
      <c r="B18" s="121">
        <v>4486</v>
      </c>
      <c r="C18" s="122">
        <v>2841708</v>
      </c>
      <c r="D18" s="121">
        <v>7392</v>
      </c>
      <c r="E18" s="122">
        <v>2649773</v>
      </c>
      <c r="F18" s="121">
        <v>11878</v>
      </c>
      <c r="G18" s="122">
        <v>5491481</v>
      </c>
      <c r="H18" s="121">
        <v>279</v>
      </c>
      <c r="I18" s="123">
        <v>132494</v>
      </c>
      <c r="J18" s="121">
        <v>768</v>
      </c>
      <c r="K18" s="123">
        <v>88586</v>
      </c>
      <c r="L18" s="121">
        <v>12397</v>
      </c>
      <c r="M18" s="123">
        <v>5447573</v>
      </c>
      <c r="N18" s="78" t="s">
        <v>60</v>
      </c>
    </row>
    <row r="19" spans="1:14" ht="13.5">
      <c r="A19" s="79"/>
      <c r="B19" s="126"/>
      <c r="C19" s="127"/>
      <c r="D19" s="126"/>
      <c r="E19" s="127"/>
      <c r="F19" s="128"/>
      <c r="G19" s="127"/>
      <c r="H19" s="128"/>
      <c r="I19" s="127"/>
      <c r="J19" s="128"/>
      <c r="K19" s="127"/>
      <c r="L19" s="128"/>
      <c r="M19" s="127"/>
      <c r="N19" s="80"/>
    </row>
    <row r="20" spans="1:14" ht="13.5">
      <c r="A20" s="73" t="s">
        <v>61</v>
      </c>
      <c r="B20" s="113">
        <f>_xlfn.COMPOUNDVALUE(37)</f>
        <v>1314</v>
      </c>
      <c r="C20" s="114">
        <v>772389</v>
      </c>
      <c r="D20" s="113">
        <f>_xlfn.COMPOUNDVALUE(38)</f>
        <v>1781</v>
      </c>
      <c r="E20" s="114">
        <v>675762</v>
      </c>
      <c r="F20" s="113">
        <f>_xlfn.COMPOUNDVALUE(39)</f>
        <v>3095</v>
      </c>
      <c r="G20" s="114">
        <v>1448151</v>
      </c>
      <c r="H20" s="113">
        <f>_xlfn.COMPOUNDVALUE(40)</f>
        <v>95</v>
      </c>
      <c r="I20" s="115">
        <v>62726</v>
      </c>
      <c r="J20" s="113">
        <v>176</v>
      </c>
      <c r="K20" s="115">
        <v>27259</v>
      </c>
      <c r="L20" s="113">
        <f>_xlfn.COMPOUNDVALUE(40)</f>
        <v>3256</v>
      </c>
      <c r="M20" s="115">
        <v>1412684</v>
      </c>
      <c r="N20" s="74" t="s">
        <v>62</v>
      </c>
    </row>
    <row r="21" spans="1:14" ht="13.5">
      <c r="A21" s="75" t="s">
        <v>63</v>
      </c>
      <c r="B21" s="118">
        <f>_xlfn.COMPOUNDVALUE(41)</f>
        <v>330</v>
      </c>
      <c r="C21" s="119">
        <v>179430</v>
      </c>
      <c r="D21" s="118">
        <f>_xlfn.COMPOUNDVALUE(42)</f>
        <v>591</v>
      </c>
      <c r="E21" s="119">
        <v>205697</v>
      </c>
      <c r="F21" s="118">
        <f>_xlfn.COMPOUNDVALUE(43)</f>
        <v>921</v>
      </c>
      <c r="G21" s="119">
        <v>385127</v>
      </c>
      <c r="H21" s="118">
        <f>_xlfn.COMPOUNDVALUE(44)</f>
        <v>30</v>
      </c>
      <c r="I21" s="120">
        <v>3410</v>
      </c>
      <c r="J21" s="118">
        <v>68</v>
      </c>
      <c r="K21" s="120">
        <v>9922</v>
      </c>
      <c r="L21" s="118">
        <f>_xlfn.COMPOUNDVALUE(44)</f>
        <v>979</v>
      </c>
      <c r="M21" s="120">
        <v>391639</v>
      </c>
      <c r="N21" s="76" t="s">
        <v>64</v>
      </c>
    </row>
    <row r="22" spans="1:14" ht="13.5">
      <c r="A22" s="75" t="s">
        <v>65</v>
      </c>
      <c r="B22" s="118">
        <f>_xlfn.COMPOUNDVALUE(45)</f>
        <v>916</v>
      </c>
      <c r="C22" s="119">
        <v>510989</v>
      </c>
      <c r="D22" s="118">
        <f>_xlfn.COMPOUNDVALUE(46)</f>
        <v>1277</v>
      </c>
      <c r="E22" s="119">
        <v>446749</v>
      </c>
      <c r="F22" s="118">
        <f>_xlfn.COMPOUNDVALUE(47)</f>
        <v>2193</v>
      </c>
      <c r="G22" s="119">
        <v>957739</v>
      </c>
      <c r="H22" s="118">
        <f>_xlfn.COMPOUNDVALUE(48)</f>
        <v>58</v>
      </c>
      <c r="I22" s="120">
        <v>27137</v>
      </c>
      <c r="J22" s="118">
        <v>120</v>
      </c>
      <c r="K22" s="120">
        <v>9497</v>
      </c>
      <c r="L22" s="118">
        <f>_xlfn.COMPOUNDVALUE(48)</f>
        <v>2287</v>
      </c>
      <c r="M22" s="120">
        <v>940099</v>
      </c>
      <c r="N22" s="76" t="s">
        <v>66</v>
      </c>
    </row>
    <row r="23" spans="1:14" ht="13.5">
      <c r="A23" s="75" t="s">
        <v>67</v>
      </c>
      <c r="B23" s="118">
        <f>_xlfn.COMPOUNDVALUE(49)</f>
        <v>231</v>
      </c>
      <c r="C23" s="119">
        <v>111953</v>
      </c>
      <c r="D23" s="118">
        <f>_xlfn.COMPOUNDVALUE(50)</f>
        <v>360</v>
      </c>
      <c r="E23" s="119">
        <v>130236</v>
      </c>
      <c r="F23" s="118">
        <f>_xlfn.COMPOUNDVALUE(51)</f>
        <v>591</v>
      </c>
      <c r="G23" s="119">
        <v>242189</v>
      </c>
      <c r="H23" s="118">
        <f>_xlfn.COMPOUNDVALUE(52)</f>
        <v>15</v>
      </c>
      <c r="I23" s="120">
        <v>2357</v>
      </c>
      <c r="J23" s="118">
        <v>87</v>
      </c>
      <c r="K23" s="120">
        <v>12075</v>
      </c>
      <c r="L23" s="118">
        <f>_xlfn.COMPOUNDVALUE(52)</f>
        <v>630</v>
      </c>
      <c r="M23" s="120">
        <v>251906</v>
      </c>
      <c r="N23" s="76" t="s">
        <v>68</v>
      </c>
    </row>
    <row r="24" spans="1:14" ht="13.5">
      <c r="A24" s="75" t="s">
        <v>69</v>
      </c>
      <c r="B24" s="118">
        <f>_xlfn.COMPOUNDVALUE(53)</f>
        <v>277</v>
      </c>
      <c r="C24" s="119">
        <v>128309</v>
      </c>
      <c r="D24" s="118">
        <f>_xlfn.COMPOUNDVALUE(54)</f>
        <v>414</v>
      </c>
      <c r="E24" s="119">
        <v>140416</v>
      </c>
      <c r="F24" s="118">
        <f>_xlfn.COMPOUNDVALUE(55)</f>
        <v>691</v>
      </c>
      <c r="G24" s="119">
        <v>268725</v>
      </c>
      <c r="H24" s="118">
        <f>_xlfn.COMPOUNDVALUE(56)</f>
        <v>15</v>
      </c>
      <c r="I24" s="120">
        <v>7188</v>
      </c>
      <c r="J24" s="118">
        <v>49</v>
      </c>
      <c r="K24" s="120">
        <v>3806</v>
      </c>
      <c r="L24" s="118">
        <f>_xlfn.COMPOUNDVALUE(56)</f>
        <v>718</v>
      </c>
      <c r="M24" s="120">
        <v>265343</v>
      </c>
      <c r="N24" s="76" t="s">
        <v>70</v>
      </c>
    </row>
    <row r="25" spans="1:14" ht="13.5">
      <c r="A25" s="75" t="s">
        <v>71</v>
      </c>
      <c r="B25" s="118">
        <f>_xlfn.COMPOUNDVALUE(57)</f>
        <v>539</v>
      </c>
      <c r="C25" s="119">
        <v>270267</v>
      </c>
      <c r="D25" s="118">
        <f>_xlfn.COMPOUNDVALUE(58)</f>
        <v>706</v>
      </c>
      <c r="E25" s="119">
        <v>243192</v>
      </c>
      <c r="F25" s="118">
        <f>_xlfn.COMPOUNDVALUE(59)</f>
        <v>1245</v>
      </c>
      <c r="G25" s="119">
        <v>513459</v>
      </c>
      <c r="H25" s="118">
        <f>_xlfn.COMPOUNDVALUE(60)</f>
        <v>34</v>
      </c>
      <c r="I25" s="120">
        <v>23880</v>
      </c>
      <c r="J25" s="118">
        <v>73</v>
      </c>
      <c r="K25" s="120">
        <v>5354</v>
      </c>
      <c r="L25" s="118">
        <f>_xlfn.COMPOUNDVALUE(60)</f>
        <v>1301</v>
      </c>
      <c r="M25" s="120">
        <v>494933</v>
      </c>
      <c r="N25" s="76" t="s">
        <v>72</v>
      </c>
    </row>
    <row r="26" spans="1:14" ht="13.5">
      <c r="A26" s="77" t="s">
        <v>73</v>
      </c>
      <c r="B26" s="121">
        <v>3607</v>
      </c>
      <c r="C26" s="122">
        <v>1973338</v>
      </c>
      <c r="D26" s="121">
        <v>5129</v>
      </c>
      <c r="E26" s="122">
        <v>1842051</v>
      </c>
      <c r="F26" s="121">
        <v>8736</v>
      </c>
      <c r="G26" s="122">
        <v>3815389</v>
      </c>
      <c r="H26" s="121">
        <v>247</v>
      </c>
      <c r="I26" s="123">
        <v>126698</v>
      </c>
      <c r="J26" s="121">
        <v>573</v>
      </c>
      <c r="K26" s="123">
        <v>67913</v>
      </c>
      <c r="L26" s="121">
        <v>9171</v>
      </c>
      <c r="M26" s="123">
        <v>3756604</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75</v>
      </c>
      <c r="B28" s="138">
        <v>12127</v>
      </c>
      <c r="C28" s="139">
        <v>7606444</v>
      </c>
      <c r="D28" s="138">
        <v>19213</v>
      </c>
      <c r="E28" s="139">
        <v>6928068</v>
      </c>
      <c r="F28" s="138">
        <v>31340</v>
      </c>
      <c r="G28" s="139">
        <v>14534512</v>
      </c>
      <c r="H28" s="138">
        <v>788</v>
      </c>
      <c r="I28" s="140">
        <v>355536</v>
      </c>
      <c r="J28" s="138">
        <v>2177</v>
      </c>
      <c r="K28" s="140">
        <v>230351</v>
      </c>
      <c r="L28" s="138">
        <v>32764</v>
      </c>
      <c r="M28" s="140">
        <v>14409328</v>
      </c>
      <c r="N28" s="84" t="s">
        <v>76</v>
      </c>
    </row>
    <row r="29" spans="1:14" ht="13.5">
      <c r="A29" s="199" t="s">
        <v>77</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(H26)</oddFooter>
  </headerFooter>
</worksheet>
</file>

<file path=xl/worksheets/sheet5.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D7">
      <selection activeCell="M26" sqref="M26"/>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78</v>
      </c>
      <c r="B1" s="61"/>
      <c r="C1" s="61"/>
      <c r="D1" s="61"/>
      <c r="E1" s="61"/>
      <c r="F1" s="61"/>
      <c r="G1" s="61"/>
      <c r="H1" s="61"/>
      <c r="I1" s="61"/>
      <c r="J1" s="61"/>
      <c r="K1" s="61"/>
      <c r="L1" s="62"/>
      <c r="M1" s="62"/>
      <c r="N1" s="112"/>
    </row>
    <row r="2" spans="1:14" ht="14.25" thickBot="1">
      <c r="A2" s="200" t="s">
        <v>79</v>
      </c>
      <c r="B2" s="200"/>
      <c r="C2" s="200"/>
      <c r="D2" s="200"/>
      <c r="E2" s="200"/>
      <c r="F2" s="200"/>
      <c r="G2" s="200"/>
      <c r="H2" s="200"/>
      <c r="I2" s="200"/>
      <c r="J2" s="85"/>
      <c r="K2" s="85"/>
      <c r="L2" s="62"/>
      <c r="M2" s="62"/>
      <c r="N2" s="112"/>
    </row>
    <row r="3" spans="1:14" ht="13.5">
      <c r="A3" s="185" t="s">
        <v>32</v>
      </c>
      <c r="B3" s="188" t="s">
        <v>33</v>
      </c>
      <c r="C3" s="188"/>
      <c r="D3" s="188"/>
      <c r="E3" s="188"/>
      <c r="F3" s="188"/>
      <c r="G3" s="188"/>
      <c r="H3" s="189" t="s">
        <v>13</v>
      </c>
      <c r="I3" s="190"/>
      <c r="J3" s="193" t="s">
        <v>34</v>
      </c>
      <c r="K3" s="190"/>
      <c r="L3" s="189" t="s">
        <v>35</v>
      </c>
      <c r="M3" s="190"/>
      <c r="N3" s="194" t="s">
        <v>80</v>
      </c>
    </row>
    <row r="4" spans="1:14" ht="13.5">
      <c r="A4" s="186"/>
      <c r="B4" s="191" t="s">
        <v>18</v>
      </c>
      <c r="C4" s="198"/>
      <c r="D4" s="191" t="s">
        <v>37</v>
      </c>
      <c r="E4" s="198"/>
      <c r="F4" s="191" t="s">
        <v>38</v>
      </c>
      <c r="G4" s="198"/>
      <c r="H4" s="191"/>
      <c r="I4" s="192"/>
      <c r="J4" s="191"/>
      <c r="K4" s="192"/>
      <c r="L4" s="191"/>
      <c r="M4" s="192"/>
      <c r="N4" s="195"/>
    </row>
    <row r="5" spans="1:14" ht="22.5">
      <c r="A5" s="187"/>
      <c r="B5" s="63" t="s">
        <v>39</v>
      </c>
      <c r="C5" s="64" t="s">
        <v>40</v>
      </c>
      <c r="D5" s="63" t="s">
        <v>39</v>
      </c>
      <c r="E5" s="64" t="s">
        <v>40</v>
      </c>
      <c r="F5" s="63" t="s">
        <v>39</v>
      </c>
      <c r="G5" s="65" t="s">
        <v>41</v>
      </c>
      <c r="H5" s="63" t="s">
        <v>39</v>
      </c>
      <c r="I5" s="66" t="s">
        <v>42</v>
      </c>
      <c r="J5" s="63" t="s">
        <v>39</v>
      </c>
      <c r="K5" s="66" t="s">
        <v>43</v>
      </c>
      <c r="L5" s="63" t="s">
        <v>39</v>
      </c>
      <c r="M5" s="67" t="s">
        <v>44</v>
      </c>
      <c r="N5" s="196"/>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81</v>
      </c>
      <c r="B7" s="113">
        <f>_xlfn.COMPOUNDVALUE(61)</f>
        <v>4624</v>
      </c>
      <c r="C7" s="114">
        <v>49230240</v>
      </c>
      <c r="D7" s="113">
        <f>_xlfn.COMPOUNDVALUE(62)</f>
        <v>1732</v>
      </c>
      <c r="E7" s="114">
        <v>900386</v>
      </c>
      <c r="F7" s="113">
        <f>_xlfn.COMPOUNDVALUE(63)</f>
        <v>6356</v>
      </c>
      <c r="G7" s="114">
        <v>50130626</v>
      </c>
      <c r="H7" s="113">
        <f>_xlfn.COMPOUNDVALUE(64)</f>
        <v>453</v>
      </c>
      <c r="I7" s="115">
        <v>5336610</v>
      </c>
      <c r="J7" s="113">
        <v>292</v>
      </c>
      <c r="K7" s="115">
        <v>120280</v>
      </c>
      <c r="L7" s="113">
        <f>_xlfn.COMPOUNDVALUE(64)</f>
        <v>6847</v>
      </c>
      <c r="M7" s="115">
        <v>44914296</v>
      </c>
      <c r="N7" s="92" t="s">
        <v>46</v>
      </c>
    </row>
    <row r="8" spans="1:14" ht="13.5">
      <c r="A8" s="75" t="s">
        <v>82</v>
      </c>
      <c r="B8" s="118">
        <f>_xlfn.COMPOUNDVALUE(65)</f>
        <v>3250</v>
      </c>
      <c r="C8" s="119">
        <v>25095056</v>
      </c>
      <c r="D8" s="118">
        <f>_xlfn.COMPOUNDVALUE(66)</f>
        <v>1170</v>
      </c>
      <c r="E8" s="119">
        <v>604373</v>
      </c>
      <c r="F8" s="118">
        <f>_xlfn.COMPOUNDVALUE(67)</f>
        <v>4420</v>
      </c>
      <c r="G8" s="119">
        <v>25699429</v>
      </c>
      <c r="H8" s="118">
        <f>_xlfn.COMPOUNDVALUE(68)</f>
        <v>488</v>
      </c>
      <c r="I8" s="120">
        <v>2920222</v>
      </c>
      <c r="J8" s="118">
        <v>209</v>
      </c>
      <c r="K8" s="120">
        <v>28484</v>
      </c>
      <c r="L8" s="118">
        <f>_xlfn.COMPOUNDVALUE(68)</f>
        <v>4952</v>
      </c>
      <c r="M8" s="120">
        <v>22807691</v>
      </c>
      <c r="N8" s="76" t="s">
        <v>48</v>
      </c>
    </row>
    <row r="9" spans="1:14" ht="13.5">
      <c r="A9" s="75" t="s">
        <v>83</v>
      </c>
      <c r="B9" s="118">
        <f>_xlfn.COMPOUNDVALUE(69)</f>
        <v>1759</v>
      </c>
      <c r="C9" s="119">
        <v>10689314</v>
      </c>
      <c r="D9" s="118">
        <f>_xlfn.COMPOUNDVALUE(70)</f>
        <v>665</v>
      </c>
      <c r="E9" s="119">
        <v>331780</v>
      </c>
      <c r="F9" s="118">
        <f>_xlfn.COMPOUNDVALUE(71)</f>
        <v>2424</v>
      </c>
      <c r="G9" s="119">
        <v>11021094</v>
      </c>
      <c r="H9" s="118">
        <f>_xlfn.COMPOUNDVALUE(72)</f>
        <v>144</v>
      </c>
      <c r="I9" s="120">
        <v>347901</v>
      </c>
      <c r="J9" s="118">
        <v>95</v>
      </c>
      <c r="K9" s="120">
        <v>3754</v>
      </c>
      <c r="L9" s="118">
        <f>_xlfn.COMPOUNDVALUE(72)</f>
        <v>2582</v>
      </c>
      <c r="M9" s="120">
        <v>10676947</v>
      </c>
      <c r="N9" s="76" t="s">
        <v>50</v>
      </c>
    </row>
    <row r="10" spans="1:14" ht="13.5">
      <c r="A10" s="75" t="s">
        <v>84</v>
      </c>
      <c r="B10" s="118">
        <f>_xlfn.COMPOUNDVALUE(73)</f>
        <v>1304</v>
      </c>
      <c r="C10" s="119">
        <v>8740600</v>
      </c>
      <c r="D10" s="118">
        <f>_xlfn.COMPOUNDVALUE(74)</f>
        <v>483</v>
      </c>
      <c r="E10" s="119">
        <v>262822</v>
      </c>
      <c r="F10" s="118">
        <f>_xlfn.COMPOUNDVALUE(75)</f>
        <v>1787</v>
      </c>
      <c r="G10" s="119">
        <v>9003422</v>
      </c>
      <c r="H10" s="118">
        <f>_xlfn.COMPOUNDVALUE(76)</f>
        <v>113</v>
      </c>
      <c r="I10" s="120">
        <v>1764373</v>
      </c>
      <c r="J10" s="118">
        <v>76</v>
      </c>
      <c r="K10" s="120">
        <v>8996</v>
      </c>
      <c r="L10" s="118">
        <f>_xlfn.COMPOUNDVALUE(76)</f>
        <v>1906</v>
      </c>
      <c r="M10" s="120">
        <v>7248046</v>
      </c>
      <c r="N10" s="76" t="s">
        <v>52</v>
      </c>
    </row>
    <row r="11" spans="1:14" ht="13.5">
      <c r="A11" s="77" t="s">
        <v>85</v>
      </c>
      <c r="B11" s="121">
        <v>10937</v>
      </c>
      <c r="C11" s="122">
        <v>93755210</v>
      </c>
      <c r="D11" s="121">
        <v>4050</v>
      </c>
      <c r="E11" s="122">
        <v>2099361</v>
      </c>
      <c r="F11" s="121">
        <v>14987</v>
      </c>
      <c r="G11" s="122">
        <v>95854572</v>
      </c>
      <c r="H11" s="121">
        <v>1198</v>
      </c>
      <c r="I11" s="123">
        <v>10369106</v>
      </c>
      <c r="J11" s="121">
        <v>672</v>
      </c>
      <c r="K11" s="123">
        <v>161514</v>
      </c>
      <c r="L11" s="121">
        <v>16287</v>
      </c>
      <c r="M11" s="123">
        <v>85646980</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_xlfn.COMPOUNDVALUE(77)</f>
        <v>6517</v>
      </c>
      <c r="C13" s="114">
        <v>45863750</v>
      </c>
      <c r="D13" s="113">
        <f>_xlfn.COMPOUNDVALUE(78)</f>
        <v>2670</v>
      </c>
      <c r="E13" s="114">
        <v>1365011</v>
      </c>
      <c r="F13" s="113">
        <f>_xlfn.COMPOUNDVALUE(79)</f>
        <v>9187</v>
      </c>
      <c r="G13" s="114">
        <v>47228761</v>
      </c>
      <c r="H13" s="113">
        <f>_xlfn.COMPOUNDVALUE(80)</f>
        <v>322</v>
      </c>
      <c r="I13" s="115">
        <v>3042911</v>
      </c>
      <c r="J13" s="113">
        <v>373</v>
      </c>
      <c r="K13" s="115">
        <v>31214</v>
      </c>
      <c r="L13" s="113">
        <f>_xlfn.COMPOUNDVALUE(80)</f>
        <v>9546</v>
      </c>
      <c r="M13" s="115">
        <v>44217063</v>
      </c>
      <c r="N13" s="74" t="s">
        <v>55</v>
      </c>
    </row>
    <row r="14" spans="1:14" ht="13.5">
      <c r="A14" s="75" t="s">
        <v>56</v>
      </c>
      <c r="B14" s="118">
        <f>_xlfn.COMPOUNDVALUE(81)</f>
        <v>1159</v>
      </c>
      <c r="C14" s="119">
        <v>5828508</v>
      </c>
      <c r="D14" s="118">
        <f>_xlfn.COMPOUNDVALUE(82)</f>
        <v>518</v>
      </c>
      <c r="E14" s="119">
        <v>243578</v>
      </c>
      <c r="F14" s="118">
        <f>_xlfn.COMPOUNDVALUE(83)</f>
        <v>1677</v>
      </c>
      <c r="G14" s="119">
        <v>6072086</v>
      </c>
      <c r="H14" s="118">
        <f>_xlfn.COMPOUNDVALUE(84)</f>
        <v>63</v>
      </c>
      <c r="I14" s="120">
        <v>60370</v>
      </c>
      <c r="J14" s="118">
        <v>104</v>
      </c>
      <c r="K14" s="120">
        <v>8464</v>
      </c>
      <c r="L14" s="118">
        <f>_xlfn.COMPOUNDVALUE(84)</f>
        <v>1751</v>
      </c>
      <c r="M14" s="120">
        <v>6020180</v>
      </c>
      <c r="N14" s="76" t="s">
        <v>56</v>
      </c>
    </row>
    <row r="15" spans="1:14" ht="13.5">
      <c r="A15" s="75" t="s">
        <v>57</v>
      </c>
      <c r="B15" s="118">
        <f>_xlfn.COMPOUNDVALUE(85)</f>
        <v>2547</v>
      </c>
      <c r="C15" s="119">
        <v>14418060</v>
      </c>
      <c r="D15" s="118">
        <f>_xlfn.COMPOUNDVALUE(86)</f>
        <v>1017</v>
      </c>
      <c r="E15" s="119">
        <v>481439</v>
      </c>
      <c r="F15" s="118">
        <f>_xlfn.COMPOUNDVALUE(87)</f>
        <v>3564</v>
      </c>
      <c r="G15" s="119">
        <v>14899499</v>
      </c>
      <c r="H15" s="118">
        <f>_xlfn.COMPOUNDVALUE(88)</f>
        <v>89</v>
      </c>
      <c r="I15" s="120">
        <v>333055</v>
      </c>
      <c r="J15" s="118">
        <v>156</v>
      </c>
      <c r="K15" s="120">
        <v>38425</v>
      </c>
      <c r="L15" s="118">
        <f>_xlfn.COMPOUNDVALUE(88)</f>
        <v>3673</v>
      </c>
      <c r="M15" s="120">
        <v>14604869</v>
      </c>
      <c r="N15" s="76" t="s">
        <v>57</v>
      </c>
    </row>
    <row r="16" spans="1:14" ht="13.5">
      <c r="A16" s="75" t="s">
        <v>58</v>
      </c>
      <c r="B16" s="118">
        <f>_xlfn.COMPOUNDVALUE(89)</f>
        <v>596</v>
      </c>
      <c r="C16" s="119">
        <v>1860672</v>
      </c>
      <c r="D16" s="118">
        <f>_xlfn.COMPOUNDVALUE(90)</f>
        <v>248</v>
      </c>
      <c r="E16" s="119">
        <v>124631</v>
      </c>
      <c r="F16" s="118">
        <f>_xlfn.COMPOUNDVALUE(91)</f>
        <v>844</v>
      </c>
      <c r="G16" s="119">
        <v>1985303</v>
      </c>
      <c r="H16" s="118">
        <f>_xlfn.COMPOUNDVALUE(92)</f>
        <v>23</v>
      </c>
      <c r="I16" s="120">
        <v>72404</v>
      </c>
      <c r="J16" s="118">
        <v>64</v>
      </c>
      <c r="K16" s="120">
        <v>9745</v>
      </c>
      <c r="L16" s="118">
        <f>_xlfn.COMPOUNDVALUE(92)</f>
        <v>873</v>
      </c>
      <c r="M16" s="120">
        <v>1922644</v>
      </c>
      <c r="N16" s="76" t="s">
        <v>58</v>
      </c>
    </row>
    <row r="17" spans="1:14" ht="13.5">
      <c r="A17" s="75" t="s">
        <v>59</v>
      </c>
      <c r="B17" s="118">
        <f>_xlfn.COMPOUNDVALUE(93)</f>
        <v>1498</v>
      </c>
      <c r="C17" s="119">
        <v>12081344</v>
      </c>
      <c r="D17" s="118">
        <f>_xlfn.COMPOUNDVALUE(94)</f>
        <v>589</v>
      </c>
      <c r="E17" s="119">
        <v>288886</v>
      </c>
      <c r="F17" s="118">
        <f>_xlfn.COMPOUNDVALUE(95)</f>
        <v>2087</v>
      </c>
      <c r="G17" s="119">
        <v>12370230</v>
      </c>
      <c r="H17" s="118">
        <f>_xlfn.COMPOUNDVALUE(96)</f>
        <v>89</v>
      </c>
      <c r="I17" s="120">
        <v>874118</v>
      </c>
      <c r="J17" s="118">
        <v>93</v>
      </c>
      <c r="K17" s="120">
        <v>-32240</v>
      </c>
      <c r="L17" s="118">
        <f>_xlfn.COMPOUNDVALUE(96)</f>
        <v>2189</v>
      </c>
      <c r="M17" s="120">
        <v>11463872</v>
      </c>
      <c r="N17" s="76" t="s">
        <v>59</v>
      </c>
    </row>
    <row r="18" spans="1:14" ht="13.5">
      <c r="A18" s="77" t="s">
        <v>60</v>
      </c>
      <c r="B18" s="121">
        <v>12317</v>
      </c>
      <c r="C18" s="122">
        <v>80052334</v>
      </c>
      <c r="D18" s="121">
        <v>5042</v>
      </c>
      <c r="E18" s="122">
        <v>2503545</v>
      </c>
      <c r="F18" s="121">
        <v>17359</v>
      </c>
      <c r="G18" s="122">
        <v>82555878</v>
      </c>
      <c r="H18" s="121">
        <v>586</v>
      </c>
      <c r="I18" s="123">
        <v>4382857</v>
      </c>
      <c r="J18" s="121">
        <v>790</v>
      </c>
      <c r="K18" s="123">
        <v>55607</v>
      </c>
      <c r="L18" s="121">
        <v>18032</v>
      </c>
      <c r="M18" s="123">
        <v>78228628</v>
      </c>
      <c r="N18" s="78" t="s">
        <v>60</v>
      </c>
    </row>
    <row r="19" spans="1:14" ht="13.5">
      <c r="A19" s="79"/>
      <c r="B19" s="126"/>
      <c r="C19" s="127"/>
      <c r="D19" s="126"/>
      <c r="E19" s="127"/>
      <c r="F19" s="128"/>
      <c r="G19" s="127"/>
      <c r="H19" s="128"/>
      <c r="I19" s="127"/>
      <c r="J19" s="128"/>
      <c r="K19" s="127"/>
      <c r="L19" s="128"/>
      <c r="M19" s="127"/>
      <c r="N19" s="80"/>
    </row>
    <row r="20" spans="1:14" ht="13.5">
      <c r="A20" s="73" t="s">
        <v>86</v>
      </c>
      <c r="B20" s="113">
        <f>_xlfn.COMPOUNDVALUE(97)</f>
        <v>4139</v>
      </c>
      <c r="C20" s="114">
        <v>25312821</v>
      </c>
      <c r="D20" s="113">
        <f>_xlfn.COMPOUNDVALUE(98)</f>
        <v>1501</v>
      </c>
      <c r="E20" s="114">
        <v>752390</v>
      </c>
      <c r="F20" s="113">
        <f>_xlfn.COMPOUNDVALUE(99)</f>
        <v>5640</v>
      </c>
      <c r="G20" s="114">
        <v>26065211</v>
      </c>
      <c r="H20" s="113">
        <f>_xlfn.COMPOUNDVALUE(100)</f>
        <v>274</v>
      </c>
      <c r="I20" s="115">
        <v>2320111</v>
      </c>
      <c r="J20" s="113">
        <v>320</v>
      </c>
      <c r="K20" s="115">
        <v>93796</v>
      </c>
      <c r="L20" s="113">
        <f>_xlfn.COMPOUNDVALUE(100)</f>
        <v>5954</v>
      </c>
      <c r="M20" s="115">
        <v>23838896</v>
      </c>
      <c r="N20" s="74" t="s">
        <v>62</v>
      </c>
    </row>
    <row r="21" spans="1:14" ht="13.5">
      <c r="A21" s="75" t="s">
        <v>87</v>
      </c>
      <c r="B21" s="118">
        <f>_xlfn.COMPOUNDVALUE(101)</f>
        <v>980</v>
      </c>
      <c r="C21" s="119">
        <v>4708376</v>
      </c>
      <c r="D21" s="118">
        <f>_xlfn.COMPOUNDVALUE(102)</f>
        <v>411</v>
      </c>
      <c r="E21" s="119">
        <v>193014</v>
      </c>
      <c r="F21" s="118">
        <f>_xlfn.COMPOUNDVALUE(103)</f>
        <v>1391</v>
      </c>
      <c r="G21" s="119">
        <v>4901390</v>
      </c>
      <c r="H21" s="118">
        <f>_xlfn.COMPOUNDVALUE(104)</f>
        <v>49</v>
      </c>
      <c r="I21" s="120">
        <v>330234</v>
      </c>
      <c r="J21" s="118">
        <v>47</v>
      </c>
      <c r="K21" s="120">
        <v>14473</v>
      </c>
      <c r="L21" s="118">
        <f>_xlfn.COMPOUNDVALUE(104)</f>
        <v>1449</v>
      </c>
      <c r="M21" s="120">
        <v>4585629</v>
      </c>
      <c r="N21" s="76" t="s">
        <v>64</v>
      </c>
    </row>
    <row r="22" spans="1:14" ht="13.5">
      <c r="A22" s="75" t="s">
        <v>88</v>
      </c>
      <c r="B22" s="118">
        <f>_xlfn.COMPOUNDVALUE(105)</f>
        <v>1976</v>
      </c>
      <c r="C22" s="119">
        <v>14864584</v>
      </c>
      <c r="D22" s="118">
        <f>_xlfn.COMPOUNDVALUE(106)</f>
        <v>775</v>
      </c>
      <c r="E22" s="119">
        <v>349251</v>
      </c>
      <c r="F22" s="118">
        <f>_xlfn.COMPOUNDVALUE(107)</f>
        <v>2751</v>
      </c>
      <c r="G22" s="119">
        <v>15213835</v>
      </c>
      <c r="H22" s="118">
        <f>_xlfn.COMPOUNDVALUE(108)</f>
        <v>183</v>
      </c>
      <c r="I22" s="120">
        <v>571605</v>
      </c>
      <c r="J22" s="118">
        <v>173</v>
      </c>
      <c r="K22" s="120">
        <v>-1561</v>
      </c>
      <c r="L22" s="118">
        <f>_xlfn.COMPOUNDVALUE(108)</f>
        <v>2950</v>
      </c>
      <c r="M22" s="120">
        <v>14640668</v>
      </c>
      <c r="N22" s="76" t="s">
        <v>66</v>
      </c>
    </row>
    <row r="23" spans="1:14" ht="13.5">
      <c r="A23" s="75" t="s">
        <v>89</v>
      </c>
      <c r="B23" s="118">
        <f>_xlfn.COMPOUNDVALUE(109)</f>
        <v>532</v>
      </c>
      <c r="C23" s="119">
        <v>2204235</v>
      </c>
      <c r="D23" s="118">
        <f>_xlfn.COMPOUNDVALUE(110)</f>
        <v>192</v>
      </c>
      <c r="E23" s="119">
        <v>94998</v>
      </c>
      <c r="F23" s="118">
        <f>_xlfn.COMPOUNDVALUE(111)</f>
        <v>724</v>
      </c>
      <c r="G23" s="119">
        <v>2299233</v>
      </c>
      <c r="H23" s="118">
        <f>_xlfn.COMPOUNDVALUE(112)</f>
        <v>21</v>
      </c>
      <c r="I23" s="120">
        <v>49666</v>
      </c>
      <c r="J23" s="118">
        <v>40</v>
      </c>
      <c r="K23" s="120">
        <v>-627</v>
      </c>
      <c r="L23" s="118">
        <f>_xlfn.COMPOUNDVALUE(112)</f>
        <v>747</v>
      </c>
      <c r="M23" s="120">
        <v>2248940</v>
      </c>
      <c r="N23" s="76" t="s">
        <v>68</v>
      </c>
    </row>
    <row r="24" spans="1:14" ht="13.5">
      <c r="A24" s="75" t="s">
        <v>90</v>
      </c>
      <c r="B24" s="118">
        <f>_xlfn.COMPOUNDVALUE(113)</f>
        <v>602</v>
      </c>
      <c r="C24" s="119">
        <v>2192091</v>
      </c>
      <c r="D24" s="118">
        <f>_xlfn.COMPOUNDVALUE(114)</f>
        <v>268</v>
      </c>
      <c r="E24" s="119">
        <v>134091</v>
      </c>
      <c r="F24" s="118">
        <f>_xlfn.COMPOUNDVALUE(115)</f>
        <v>870</v>
      </c>
      <c r="G24" s="119">
        <v>2326182</v>
      </c>
      <c r="H24" s="118">
        <f>_xlfn.COMPOUNDVALUE(116)</f>
        <v>27</v>
      </c>
      <c r="I24" s="120">
        <v>122499</v>
      </c>
      <c r="J24" s="118">
        <v>59</v>
      </c>
      <c r="K24" s="120">
        <v>3196</v>
      </c>
      <c r="L24" s="118">
        <f>_xlfn.COMPOUNDVALUE(116)</f>
        <v>898</v>
      </c>
      <c r="M24" s="120">
        <v>2206879</v>
      </c>
      <c r="N24" s="76" t="s">
        <v>70</v>
      </c>
    </row>
    <row r="25" spans="1:14" ht="13.5">
      <c r="A25" s="75" t="s">
        <v>91</v>
      </c>
      <c r="B25" s="118">
        <f>_xlfn.COMPOUNDVALUE(117)</f>
        <v>1147</v>
      </c>
      <c r="C25" s="119">
        <v>7486752</v>
      </c>
      <c r="D25" s="118">
        <f>_xlfn.COMPOUNDVALUE(118)</f>
        <v>460</v>
      </c>
      <c r="E25" s="119">
        <v>222029</v>
      </c>
      <c r="F25" s="118">
        <f>_xlfn.COMPOUNDVALUE(119)</f>
        <v>1607</v>
      </c>
      <c r="G25" s="119">
        <v>7708781</v>
      </c>
      <c r="H25" s="118">
        <f>_xlfn.COMPOUNDVALUE(120)</f>
        <v>88</v>
      </c>
      <c r="I25" s="120">
        <v>648444</v>
      </c>
      <c r="J25" s="118">
        <v>52</v>
      </c>
      <c r="K25" s="120">
        <v>9390</v>
      </c>
      <c r="L25" s="118">
        <f>_xlfn.COMPOUNDVALUE(120)</f>
        <v>1711</v>
      </c>
      <c r="M25" s="120">
        <v>7069728</v>
      </c>
      <c r="N25" s="76" t="s">
        <v>72</v>
      </c>
    </row>
    <row r="26" spans="1:14" ht="13.5">
      <c r="A26" s="77" t="s">
        <v>92</v>
      </c>
      <c r="B26" s="121">
        <v>9376</v>
      </c>
      <c r="C26" s="122">
        <v>56768859</v>
      </c>
      <c r="D26" s="121">
        <v>3607</v>
      </c>
      <c r="E26" s="122">
        <v>1745773</v>
      </c>
      <c r="F26" s="121">
        <v>12983</v>
      </c>
      <c r="G26" s="122">
        <v>58514632</v>
      </c>
      <c r="H26" s="121">
        <v>642</v>
      </c>
      <c r="I26" s="123">
        <v>4042560</v>
      </c>
      <c r="J26" s="121">
        <v>691</v>
      </c>
      <c r="K26" s="123">
        <v>118668</v>
      </c>
      <c r="L26" s="121">
        <v>13709</v>
      </c>
      <c r="M26" s="123">
        <v>54590740</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93</v>
      </c>
      <c r="B28" s="138">
        <v>32630</v>
      </c>
      <c r="C28" s="139">
        <v>230576403</v>
      </c>
      <c r="D28" s="138">
        <v>12699</v>
      </c>
      <c r="E28" s="139">
        <v>6348679</v>
      </c>
      <c r="F28" s="138">
        <v>45329</v>
      </c>
      <c r="G28" s="139">
        <v>236925082</v>
      </c>
      <c r="H28" s="138">
        <v>2426</v>
      </c>
      <c r="I28" s="140">
        <v>18794523</v>
      </c>
      <c r="J28" s="138">
        <v>2153</v>
      </c>
      <c r="K28" s="140">
        <v>335789</v>
      </c>
      <c r="L28" s="138">
        <v>48028</v>
      </c>
      <c r="M28" s="140">
        <v>218466348</v>
      </c>
      <c r="N28" s="84" t="s">
        <v>76</v>
      </c>
    </row>
    <row r="29" spans="1:14" ht="13.5">
      <c r="A29" s="199" t="s">
        <v>77</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(H26)</oddFooter>
  </headerFooter>
</worksheet>
</file>

<file path=xl/worksheets/sheet6.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C1">
      <selection activeCell="M27" sqref="M27"/>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78</v>
      </c>
      <c r="B1" s="61"/>
      <c r="C1" s="61"/>
      <c r="D1" s="61"/>
      <c r="E1" s="61"/>
      <c r="F1" s="61"/>
      <c r="G1" s="61"/>
      <c r="H1" s="61"/>
      <c r="I1" s="61"/>
      <c r="J1" s="61"/>
      <c r="K1" s="61"/>
      <c r="L1" s="62"/>
      <c r="M1" s="62"/>
      <c r="N1" s="62"/>
      <c r="O1" s="62"/>
      <c r="P1" s="62"/>
      <c r="Q1" s="112"/>
      <c r="R1" s="112"/>
    </row>
    <row r="2" spans="1:18" ht="14.25" thickBot="1">
      <c r="A2" s="200" t="s">
        <v>94</v>
      </c>
      <c r="B2" s="200"/>
      <c r="C2" s="200"/>
      <c r="D2" s="200"/>
      <c r="E2" s="200"/>
      <c r="F2" s="200"/>
      <c r="G2" s="200"/>
      <c r="H2" s="200"/>
      <c r="I2" s="200"/>
      <c r="J2" s="85"/>
      <c r="K2" s="85"/>
      <c r="L2" s="62"/>
      <c r="M2" s="62"/>
      <c r="N2" s="62"/>
      <c r="O2" s="62"/>
      <c r="P2" s="62"/>
      <c r="Q2" s="112"/>
      <c r="R2" s="112"/>
    </row>
    <row r="3" spans="1:18" ht="13.5">
      <c r="A3" s="185" t="s">
        <v>32</v>
      </c>
      <c r="B3" s="188" t="s">
        <v>33</v>
      </c>
      <c r="C3" s="188"/>
      <c r="D3" s="188"/>
      <c r="E3" s="188"/>
      <c r="F3" s="188"/>
      <c r="G3" s="188"/>
      <c r="H3" s="188" t="s">
        <v>13</v>
      </c>
      <c r="I3" s="188"/>
      <c r="J3" s="210" t="s">
        <v>34</v>
      </c>
      <c r="K3" s="188"/>
      <c r="L3" s="188" t="s">
        <v>35</v>
      </c>
      <c r="M3" s="188"/>
      <c r="N3" s="201" t="s">
        <v>95</v>
      </c>
      <c r="O3" s="202"/>
      <c r="P3" s="202"/>
      <c r="Q3" s="202"/>
      <c r="R3" s="194" t="s">
        <v>80</v>
      </c>
    </row>
    <row r="4" spans="1:18" ht="13.5">
      <c r="A4" s="186"/>
      <c r="B4" s="197" t="s">
        <v>18</v>
      </c>
      <c r="C4" s="197"/>
      <c r="D4" s="197" t="s">
        <v>37</v>
      </c>
      <c r="E4" s="197"/>
      <c r="F4" s="197" t="s">
        <v>38</v>
      </c>
      <c r="G4" s="197"/>
      <c r="H4" s="197"/>
      <c r="I4" s="197"/>
      <c r="J4" s="197"/>
      <c r="K4" s="197"/>
      <c r="L4" s="197"/>
      <c r="M4" s="197"/>
      <c r="N4" s="203" t="s">
        <v>96</v>
      </c>
      <c r="O4" s="205" t="s">
        <v>97</v>
      </c>
      <c r="P4" s="207" t="s">
        <v>98</v>
      </c>
      <c r="Q4" s="192" t="s">
        <v>99</v>
      </c>
      <c r="R4" s="195"/>
    </row>
    <row r="5" spans="1:18" ht="22.5">
      <c r="A5" s="187"/>
      <c r="B5" s="63" t="s">
        <v>39</v>
      </c>
      <c r="C5" s="64" t="s">
        <v>40</v>
      </c>
      <c r="D5" s="63" t="s">
        <v>39</v>
      </c>
      <c r="E5" s="64" t="s">
        <v>40</v>
      </c>
      <c r="F5" s="63" t="s">
        <v>39</v>
      </c>
      <c r="G5" s="64" t="s">
        <v>41</v>
      </c>
      <c r="H5" s="63" t="s">
        <v>39</v>
      </c>
      <c r="I5" s="64" t="s">
        <v>42</v>
      </c>
      <c r="J5" s="63" t="s">
        <v>39</v>
      </c>
      <c r="K5" s="64" t="s">
        <v>43</v>
      </c>
      <c r="L5" s="63" t="s">
        <v>39</v>
      </c>
      <c r="M5" s="86" t="s">
        <v>100</v>
      </c>
      <c r="N5" s="204"/>
      <c r="O5" s="206"/>
      <c r="P5" s="208"/>
      <c r="Q5" s="209"/>
      <c r="R5" s="196"/>
    </row>
    <row r="6" spans="1:18" ht="13.5">
      <c r="A6" s="68"/>
      <c r="B6" s="69" t="s">
        <v>4</v>
      </c>
      <c r="C6" s="70" t="s">
        <v>5</v>
      </c>
      <c r="D6" s="69" t="s">
        <v>4</v>
      </c>
      <c r="E6" s="70" t="s">
        <v>5</v>
      </c>
      <c r="F6" s="69" t="s">
        <v>4</v>
      </c>
      <c r="G6" s="70" t="s">
        <v>5</v>
      </c>
      <c r="H6" s="69" t="s">
        <v>4</v>
      </c>
      <c r="I6" s="70" t="s">
        <v>5</v>
      </c>
      <c r="J6" s="69" t="s">
        <v>4</v>
      </c>
      <c r="K6" s="70" t="s">
        <v>5</v>
      </c>
      <c r="L6" s="69" t="s">
        <v>4</v>
      </c>
      <c r="M6" s="70" t="s">
        <v>5</v>
      </c>
      <c r="N6" s="69" t="s">
        <v>4</v>
      </c>
      <c r="O6" s="87" t="s">
        <v>4</v>
      </c>
      <c r="P6" s="87" t="s">
        <v>4</v>
      </c>
      <c r="Q6" s="88" t="s">
        <v>4</v>
      </c>
      <c r="R6" s="72"/>
    </row>
    <row r="7" spans="1:18" ht="13.5">
      <c r="A7" s="73" t="s">
        <v>45</v>
      </c>
      <c r="B7" s="113">
        <f>_xlfn.COMPOUNDVALUE(121)</f>
        <v>6055</v>
      </c>
      <c r="C7" s="114">
        <v>50290077</v>
      </c>
      <c r="D7" s="113">
        <f>_xlfn.COMPOUNDVALUE(122)</f>
        <v>4148</v>
      </c>
      <c r="E7" s="114">
        <v>1810858</v>
      </c>
      <c r="F7" s="113">
        <f>_xlfn.COMPOUNDVALUE(123)</f>
        <v>10203</v>
      </c>
      <c r="G7" s="114">
        <v>52100935</v>
      </c>
      <c r="H7" s="113">
        <f>_xlfn.COMPOUNDVALUE(124)</f>
        <v>567</v>
      </c>
      <c r="I7" s="115">
        <v>5374170</v>
      </c>
      <c r="J7" s="113">
        <v>535</v>
      </c>
      <c r="K7" s="115">
        <v>148317</v>
      </c>
      <c r="L7" s="113">
        <f>_xlfn.COMPOUNDVALUE(124)</f>
        <v>10886</v>
      </c>
      <c r="M7" s="115">
        <v>46875081</v>
      </c>
      <c r="N7" s="113">
        <v>10491</v>
      </c>
      <c r="O7" s="116">
        <v>299</v>
      </c>
      <c r="P7" s="116">
        <v>27</v>
      </c>
      <c r="Q7" s="117">
        <v>10817</v>
      </c>
      <c r="R7" s="92" t="s">
        <v>46</v>
      </c>
    </row>
    <row r="8" spans="1:18" ht="13.5">
      <c r="A8" s="75" t="s">
        <v>47</v>
      </c>
      <c r="B8" s="118">
        <f>_xlfn.COMPOUNDVALUE(125)</f>
        <v>4564</v>
      </c>
      <c r="C8" s="119">
        <v>25989016</v>
      </c>
      <c r="D8" s="118">
        <f>_xlfn.COMPOUNDVALUE(126)</f>
        <v>3129</v>
      </c>
      <c r="E8" s="119">
        <v>1302463</v>
      </c>
      <c r="F8" s="118">
        <f>_xlfn.COMPOUNDVALUE(127)</f>
        <v>7693</v>
      </c>
      <c r="G8" s="119">
        <v>27291479</v>
      </c>
      <c r="H8" s="118">
        <f>_xlfn.COMPOUNDVALUE(128)</f>
        <v>562</v>
      </c>
      <c r="I8" s="120">
        <v>2957411</v>
      </c>
      <c r="J8" s="118">
        <v>491</v>
      </c>
      <c r="K8" s="120">
        <v>49155</v>
      </c>
      <c r="L8" s="118">
        <f>_xlfn.COMPOUNDVALUE(128)</f>
        <v>8384</v>
      </c>
      <c r="M8" s="120">
        <v>24383222</v>
      </c>
      <c r="N8" s="113">
        <v>7659</v>
      </c>
      <c r="O8" s="116">
        <v>289</v>
      </c>
      <c r="P8" s="116">
        <v>26</v>
      </c>
      <c r="Q8" s="117">
        <v>7974</v>
      </c>
      <c r="R8" s="76" t="s">
        <v>48</v>
      </c>
    </row>
    <row r="9" spans="1:18" ht="13.5">
      <c r="A9" s="75" t="s">
        <v>49</v>
      </c>
      <c r="B9" s="118">
        <f>_xlfn.COMPOUNDVALUE(129)</f>
        <v>2527</v>
      </c>
      <c r="C9" s="119">
        <v>11214100</v>
      </c>
      <c r="D9" s="118">
        <f>_xlfn.COMPOUNDVALUE(130)</f>
        <v>2070</v>
      </c>
      <c r="E9" s="119">
        <v>839902</v>
      </c>
      <c r="F9" s="118">
        <f>_xlfn.COMPOUNDVALUE(131)</f>
        <v>4597</v>
      </c>
      <c r="G9" s="119">
        <v>12054002</v>
      </c>
      <c r="H9" s="118">
        <f>_xlfn.COMPOUNDVALUE(132)</f>
        <v>193</v>
      </c>
      <c r="I9" s="120">
        <v>362929</v>
      </c>
      <c r="J9" s="118">
        <v>273</v>
      </c>
      <c r="K9" s="120">
        <v>13013</v>
      </c>
      <c r="L9" s="118">
        <f>_xlfn.COMPOUNDVALUE(132)</f>
        <v>4825</v>
      </c>
      <c r="M9" s="120">
        <v>11704086</v>
      </c>
      <c r="N9" s="113">
        <v>4507</v>
      </c>
      <c r="O9" s="116">
        <v>154</v>
      </c>
      <c r="P9" s="116">
        <v>10</v>
      </c>
      <c r="Q9" s="117">
        <v>4671</v>
      </c>
      <c r="R9" s="76" t="s">
        <v>50</v>
      </c>
    </row>
    <row r="10" spans="1:18" ht="13.5">
      <c r="A10" s="75" t="s">
        <v>51</v>
      </c>
      <c r="B10" s="118">
        <f>_xlfn.COMPOUNDVALUE(133)</f>
        <v>1825</v>
      </c>
      <c r="C10" s="119">
        <v>9053415</v>
      </c>
      <c r="D10" s="118">
        <f>_xlfn.COMPOUNDVALUE(134)</f>
        <v>1395</v>
      </c>
      <c r="E10" s="119">
        <v>582383</v>
      </c>
      <c r="F10" s="118">
        <f>_xlfn.COMPOUNDVALUE(135)</f>
        <v>3220</v>
      </c>
      <c r="G10" s="119">
        <v>9635798</v>
      </c>
      <c r="H10" s="118">
        <f>_xlfn.COMPOUNDVALUE(136)</f>
        <v>138</v>
      </c>
      <c r="I10" s="120">
        <v>1770939</v>
      </c>
      <c r="J10" s="118">
        <v>209</v>
      </c>
      <c r="K10" s="120">
        <v>24882</v>
      </c>
      <c r="L10" s="118">
        <f>_xlfn.COMPOUNDVALUE(136)</f>
        <v>3388</v>
      </c>
      <c r="M10" s="120">
        <v>7889741</v>
      </c>
      <c r="N10" s="113">
        <v>3252</v>
      </c>
      <c r="O10" s="116">
        <v>92</v>
      </c>
      <c r="P10" s="116">
        <v>8</v>
      </c>
      <c r="Q10" s="117">
        <v>3352</v>
      </c>
      <c r="R10" s="76" t="s">
        <v>52</v>
      </c>
    </row>
    <row r="11" spans="1:18" ht="13.5">
      <c r="A11" s="77" t="s">
        <v>53</v>
      </c>
      <c r="B11" s="121">
        <v>14971</v>
      </c>
      <c r="C11" s="122">
        <v>96546608</v>
      </c>
      <c r="D11" s="121">
        <v>10742</v>
      </c>
      <c r="E11" s="122">
        <v>4535605</v>
      </c>
      <c r="F11" s="121">
        <v>25713</v>
      </c>
      <c r="G11" s="122">
        <v>101082214</v>
      </c>
      <c r="H11" s="121">
        <v>1460</v>
      </c>
      <c r="I11" s="123">
        <v>10465450</v>
      </c>
      <c r="J11" s="121">
        <v>1508</v>
      </c>
      <c r="K11" s="123">
        <v>235366</v>
      </c>
      <c r="L11" s="121">
        <v>27483</v>
      </c>
      <c r="M11" s="123">
        <v>90852130</v>
      </c>
      <c r="N11" s="121">
        <v>25909</v>
      </c>
      <c r="O11" s="124">
        <v>834</v>
      </c>
      <c r="P11" s="124">
        <v>71</v>
      </c>
      <c r="Q11" s="125">
        <v>26814</v>
      </c>
      <c r="R11" s="78" t="s">
        <v>54</v>
      </c>
    </row>
    <row r="12" spans="1:18" ht="13.5">
      <c r="A12" s="79"/>
      <c r="B12" s="126"/>
      <c r="C12" s="127"/>
      <c r="D12" s="126"/>
      <c r="E12" s="127"/>
      <c r="F12" s="128"/>
      <c r="G12" s="127"/>
      <c r="H12" s="128"/>
      <c r="I12" s="127"/>
      <c r="J12" s="128"/>
      <c r="K12" s="127"/>
      <c r="L12" s="128"/>
      <c r="M12" s="127"/>
      <c r="N12" s="129"/>
      <c r="O12" s="130"/>
      <c r="P12" s="130"/>
      <c r="Q12" s="131"/>
      <c r="R12" s="89" t="s">
        <v>101</v>
      </c>
    </row>
    <row r="13" spans="1:18" ht="13.5">
      <c r="A13" s="73" t="s">
        <v>55</v>
      </c>
      <c r="B13" s="113">
        <f>_xlfn.COMPOUNDVALUE(137)</f>
        <v>8708</v>
      </c>
      <c r="C13" s="114">
        <v>47128608</v>
      </c>
      <c r="D13" s="113">
        <f>_xlfn.COMPOUNDVALUE(138)</f>
        <v>5973</v>
      </c>
      <c r="E13" s="114">
        <v>2611800</v>
      </c>
      <c r="F13" s="113">
        <f>_xlfn.COMPOUNDVALUE(139)</f>
        <v>14681</v>
      </c>
      <c r="G13" s="114">
        <v>49740408</v>
      </c>
      <c r="H13" s="113">
        <f>_xlfn.COMPOUNDVALUE(140)</f>
        <v>466</v>
      </c>
      <c r="I13" s="115">
        <v>3117328</v>
      </c>
      <c r="J13" s="113">
        <v>702</v>
      </c>
      <c r="K13" s="115">
        <v>70306</v>
      </c>
      <c r="L13" s="113">
        <f>_xlfn.COMPOUNDVALUE(140)</f>
        <v>15282</v>
      </c>
      <c r="M13" s="115">
        <v>46693385</v>
      </c>
      <c r="N13" s="113">
        <v>15065</v>
      </c>
      <c r="O13" s="116">
        <v>283</v>
      </c>
      <c r="P13" s="116">
        <v>54</v>
      </c>
      <c r="Q13" s="117">
        <v>15402</v>
      </c>
      <c r="R13" s="76" t="s">
        <v>55</v>
      </c>
    </row>
    <row r="14" spans="1:18" ht="13.5">
      <c r="A14" s="75" t="s">
        <v>56</v>
      </c>
      <c r="B14" s="118">
        <f>_xlfn.COMPOUNDVALUE(141)</f>
        <v>1628</v>
      </c>
      <c r="C14" s="119">
        <v>6099795</v>
      </c>
      <c r="D14" s="118">
        <f>_xlfn.COMPOUNDVALUE(142)</f>
        <v>1387</v>
      </c>
      <c r="E14" s="119">
        <v>533267</v>
      </c>
      <c r="F14" s="118">
        <f>_xlfn.COMPOUNDVALUE(143)</f>
        <v>3015</v>
      </c>
      <c r="G14" s="119">
        <v>6633062</v>
      </c>
      <c r="H14" s="118">
        <f>_xlfn.COMPOUNDVALUE(144)</f>
        <v>107</v>
      </c>
      <c r="I14" s="120">
        <v>81621</v>
      </c>
      <c r="J14" s="118">
        <v>181</v>
      </c>
      <c r="K14" s="120">
        <v>12929</v>
      </c>
      <c r="L14" s="118">
        <f>_xlfn.COMPOUNDVALUE(144)</f>
        <v>3146</v>
      </c>
      <c r="M14" s="120">
        <v>6564371</v>
      </c>
      <c r="N14" s="113">
        <v>3041</v>
      </c>
      <c r="O14" s="116">
        <v>67</v>
      </c>
      <c r="P14" s="116">
        <v>5</v>
      </c>
      <c r="Q14" s="117">
        <v>3113</v>
      </c>
      <c r="R14" s="76" t="s">
        <v>56</v>
      </c>
    </row>
    <row r="15" spans="1:18" ht="13.5">
      <c r="A15" s="75" t="s">
        <v>57</v>
      </c>
      <c r="B15" s="118">
        <f>_xlfn.COMPOUNDVALUE(145)</f>
        <v>3469</v>
      </c>
      <c r="C15" s="119">
        <v>15228877</v>
      </c>
      <c r="D15" s="118">
        <f>_xlfn.COMPOUNDVALUE(146)</f>
        <v>2658</v>
      </c>
      <c r="E15" s="119">
        <v>1054988</v>
      </c>
      <c r="F15" s="118">
        <f>_xlfn.COMPOUNDVALUE(147)</f>
        <v>6127</v>
      </c>
      <c r="G15" s="119">
        <v>16283866</v>
      </c>
      <c r="H15" s="118">
        <f>_xlfn.COMPOUNDVALUE(148)</f>
        <v>136</v>
      </c>
      <c r="I15" s="120">
        <v>349728</v>
      </c>
      <c r="J15" s="118">
        <v>342</v>
      </c>
      <c r="K15" s="120">
        <v>65478</v>
      </c>
      <c r="L15" s="118">
        <f>_xlfn.COMPOUNDVALUE(148)</f>
        <v>6340</v>
      </c>
      <c r="M15" s="120">
        <v>15999616</v>
      </c>
      <c r="N15" s="113">
        <v>6159</v>
      </c>
      <c r="O15" s="116">
        <v>108</v>
      </c>
      <c r="P15" s="116">
        <v>7</v>
      </c>
      <c r="Q15" s="117">
        <v>6274</v>
      </c>
      <c r="R15" s="76" t="s">
        <v>57</v>
      </c>
    </row>
    <row r="16" spans="1:18" ht="13.5">
      <c r="A16" s="75" t="s">
        <v>58</v>
      </c>
      <c r="B16" s="118">
        <f>_xlfn.COMPOUNDVALUE(149)</f>
        <v>926</v>
      </c>
      <c r="C16" s="119">
        <v>2061878</v>
      </c>
      <c r="D16" s="118">
        <f>_xlfn.COMPOUNDVALUE(150)</f>
        <v>916</v>
      </c>
      <c r="E16" s="119">
        <v>344930</v>
      </c>
      <c r="F16" s="118">
        <f>_xlfn.COMPOUNDVALUE(151)</f>
        <v>1842</v>
      </c>
      <c r="G16" s="119">
        <v>2406808</v>
      </c>
      <c r="H16" s="118">
        <f>_xlfn.COMPOUNDVALUE(152)</f>
        <v>33</v>
      </c>
      <c r="I16" s="120">
        <v>78435</v>
      </c>
      <c r="J16" s="118">
        <v>127</v>
      </c>
      <c r="K16" s="120">
        <v>14262</v>
      </c>
      <c r="L16" s="118">
        <f>_xlfn.COMPOUNDVALUE(152)</f>
        <v>1892</v>
      </c>
      <c r="M16" s="120">
        <v>2342635</v>
      </c>
      <c r="N16" s="113">
        <v>1840</v>
      </c>
      <c r="O16" s="116">
        <v>38</v>
      </c>
      <c r="P16" s="116">
        <v>5</v>
      </c>
      <c r="Q16" s="117">
        <v>1883</v>
      </c>
      <c r="R16" s="76" t="s">
        <v>58</v>
      </c>
    </row>
    <row r="17" spans="1:18" ht="13.5">
      <c r="A17" s="75" t="s">
        <v>59</v>
      </c>
      <c r="B17" s="118">
        <f>_xlfn.COMPOUNDVALUE(153)</f>
        <v>2072</v>
      </c>
      <c r="C17" s="119">
        <v>12374883</v>
      </c>
      <c r="D17" s="118">
        <f>_xlfn.COMPOUNDVALUE(154)</f>
        <v>1500</v>
      </c>
      <c r="E17" s="119">
        <v>608332</v>
      </c>
      <c r="F17" s="118">
        <f>_xlfn.COMPOUNDVALUE(155)</f>
        <v>3572</v>
      </c>
      <c r="G17" s="119">
        <v>12983215</v>
      </c>
      <c r="H17" s="118">
        <f>_xlfn.COMPOUNDVALUE(156)</f>
        <v>123</v>
      </c>
      <c r="I17" s="120">
        <v>888239</v>
      </c>
      <c r="J17" s="118">
        <v>206</v>
      </c>
      <c r="K17" s="120">
        <v>-18782</v>
      </c>
      <c r="L17" s="118">
        <f>_xlfn.COMPOUNDVALUE(156)</f>
        <v>3769</v>
      </c>
      <c r="M17" s="120">
        <v>12076194</v>
      </c>
      <c r="N17" s="113">
        <v>3600</v>
      </c>
      <c r="O17" s="116">
        <v>73</v>
      </c>
      <c r="P17" s="116">
        <v>7</v>
      </c>
      <c r="Q17" s="117">
        <v>3680</v>
      </c>
      <c r="R17" s="76" t="s">
        <v>59</v>
      </c>
    </row>
    <row r="18" spans="1:18" ht="13.5">
      <c r="A18" s="77" t="s">
        <v>102</v>
      </c>
      <c r="B18" s="121">
        <v>16803</v>
      </c>
      <c r="C18" s="122">
        <v>82894042</v>
      </c>
      <c r="D18" s="121">
        <v>12434</v>
      </c>
      <c r="E18" s="122">
        <v>5153318</v>
      </c>
      <c r="F18" s="121">
        <v>29237</v>
      </c>
      <c r="G18" s="122">
        <v>88047360</v>
      </c>
      <c r="H18" s="121">
        <v>865</v>
      </c>
      <c r="I18" s="123">
        <v>4515351</v>
      </c>
      <c r="J18" s="121">
        <v>1558</v>
      </c>
      <c r="K18" s="123">
        <v>144193</v>
      </c>
      <c r="L18" s="121">
        <v>30429</v>
      </c>
      <c r="M18" s="123">
        <v>83676202</v>
      </c>
      <c r="N18" s="121">
        <v>29705</v>
      </c>
      <c r="O18" s="124">
        <v>569</v>
      </c>
      <c r="P18" s="124">
        <v>78</v>
      </c>
      <c r="Q18" s="125">
        <v>30352</v>
      </c>
      <c r="R18" s="78" t="s">
        <v>60</v>
      </c>
    </row>
    <row r="19" spans="1:18" ht="13.5">
      <c r="A19" s="79"/>
      <c r="B19" s="126"/>
      <c r="C19" s="127"/>
      <c r="D19" s="126"/>
      <c r="E19" s="127"/>
      <c r="F19" s="128"/>
      <c r="G19" s="127"/>
      <c r="H19" s="128"/>
      <c r="I19" s="127"/>
      <c r="J19" s="128"/>
      <c r="K19" s="127"/>
      <c r="L19" s="128"/>
      <c r="M19" s="127"/>
      <c r="N19" s="129"/>
      <c r="O19" s="130"/>
      <c r="P19" s="130"/>
      <c r="Q19" s="131"/>
      <c r="R19" s="89" t="s">
        <v>101</v>
      </c>
    </row>
    <row r="20" spans="1:18" ht="13.5">
      <c r="A20" s="73" t="s">
        <v>61</v>
      </c>
      <c r="B20" s="113">
        <f>_xlfn.COMPOUNDVALUE(157)</f>
        <v>5453</v>
      </c>
      <c r="C20" s="114">
        <v>26085211</v>
      </c>
      <c r="D20" s="113">
        <f>_xlfn.COMPOUNDVALUE(158)</f>
        <v>3282</v>
      </c>
      <c r="E20" s="114">
        <v>1428152</v>
      </c>
      <c r="F20" s="113">
        <f>_xlfn.COMPOUNDVALUE(159)</f>
        <v>8735</v>
      </c>
      <c r="G20" s="114">
        <v>27513362</v>
      </c>
      <c r="H20" s="113">
        <f>_xlfn.COMPOUNDVALUE(160)</f>
        <v>369</v>
      </c>
      <c r="I20" s="115">
        <v>2382838</v>
      </c>
      <c r="J20" s="113">
        <v>496</v>
      </c>
      <c r="K20" s="115">
        <v>121056</v>
      </c>
      <c r="L20" s="113">
        <f>_xlfn.COMPOUNDVALUE(160)</f>
        <v>9210</v>
      </c>
      <c r="M20" s="115">
        <v>25251580</v>
      </c>
      <c r="N20" s="113">
        <v>8843</v>
      </c>
      <c r="O20" s="116">
        <v>210</v>
      </c>
      <c r="P20" s="116">
        <v>29</v>
      </c>
      <c r="Q20" s="117">
        <v>9082</v>
      </c>
      <c r="R20" s="76" t="s">
        <v>62</v>
      </c>
    </row>
    <row r="21" spans="1:18" ht="13.5">
      <c r="A21" s="75" t="s">
        <v>63</v>
      </c>
      <c r="B21" s="118">
        <f>_xlfn.COMPOUNDVALUE(161)</f>
        <v>1310</v>
      </c>
      <c r="C21" s="119">
        <v>4887806</v>
      </c>
      <c r="D21" s="118">
        <f>_xlfn.COMPOUNDVALUE(162)</f>
        <v>1002</v>
      </c>
      <c r="E21" s="119">
        <v>398711</v>
      </c>
      <c r="F21" s="118">
        <f>_xlfn.COMPOUNDVALUE(163)</f>
        <v>2312</v>
      </c>
      <c r="G21" s="119">
        <v>5286517</v>
      </c>
      <c r="H21" s="118">
        <f>_xlfn.COMPOUNDVALUE(164)</f>
        <v>79</v>
      </c>
      <c r="I21" s="120">
        <v>333644</v>
      </c>
      <c r="J21" s="118">
        <v>115</v>
      </c>
      <c r="K21" s="120">
        <v>24396</v>
      </c>
      <c r="L21" s="118">
        <f>_xlfn.COMPOUNDVALUE(164)</f>
        <v>2428</v>
      </c>
      <c r="M21" s="120">
        <v>4977268</v>
      </c>
      <c r="N21" s="113">
        <v>2269</v>
      </c>
      <c r="O21" s="116">
        <v>58</v>
      </c>
      <c r="P21" s="116">
        <v>3</v>
      </c>
      <c r="Q21" s="117">
        <v>2330</v>
      </c>
      <c r="R21" s="76" t="s">
        <v>64</v>
      </c>
    </row>
    <row r="22" spans="1:18" ht="13.5">
      <c r="A22" s="75" t="s">
        <v>65</v>
      </c>
      <c r="B22" s="118">
        <f>_xlfn.COMPOUNDVALUE(165)</f>
        <v>2892</v>
      </c>
      <c r="C22" s="119">
        <v>15375573</v>
      </c>
      <c r="D22" s="118">
        <f>_xlfn.COMPOUNDVALUE(166)</f>
        <v>2052</v>
      </c>
      <c r="E22" s="119">
        <v>796000</v>
      </c>
      <c r="F22" s="118">
        <f>_xlfn.COMPOUNDVALUE(167)</f>
        <v>4944</v>
      </c>
      <c r="G22" s="119">
        <v>16171573</v>
      </c>
      <c r="H22" s="118">
        <f>_xlfn.COMPOUNDVALUE(168)</f>
        <v>241</v>
      </c>
      <c r="I22" s="120">
        <v>598743</v>
      </c>
      <c r="J22" s="118">
        <v>293</v>
      </c>
      <c r="K22" s="120">
        <v>7936</v>
      </c>
      <c r="L22" s="118">
        <f>_xlfn.COMPOUNDVALUE(168)</f>
        <v>5237</v>
      </c>
      <c r="M22" s="120">
        <v>15580767</v>
      </c>
      <c r="N22" s="113">
        <v>4915</v>
      </c>
      <c r="O22" s="116">
        <v>100</v>
      </c>
      <c r="P22" s="116">
        <v>10</v>
      </c>
      <c r="Q22" s="117">
        <v>5025</v>
      </c>
      <c r="R22" s="76" t="s">
        <v>66</v>
      </c>
    </row>
    <row r="23" spans="1:18" ht="13.5">
      <c r="A23" s="75" t="s">
        <v>67</v>
      </c>
      <c r="B23" s="118">
        <f>_xlfn.COMPOUNDVALUE(169)</f>
        <v>763</v>
      </c>
      <c r="C23" s="119">
        <v>2316189</v>
      </c>
      <c r="D23" s="118">
        <f>_xlfn.COMPOUNDVALUE(170)</f>
        <v>552</v>
      </c>
      <c r="E23" s="119">
        <v>225234</v>
      </c>
      <c r="F23" s="118">
        <f>_xlfn.COMPOUNDVALUE(171)</f>
        <v>1315</v>
      </c>
      <c r="G23" s="119">
        <v>2541422</v>
      </c>
      <c r="H23" s="118">
        <f>_xlfn.COMPOUNDVALUE(172)</f>
        <v>36</v>
      </c>
      <c r="I23" s="120">
        <v>52023</v>
      </c>
      <c r="J23" s="118">
        <v>127</v>
      </c>
      <c r="K23" s="120">
        <v>11448</v>
      </c>
      <c r="L23" s="118">
        <f>_xlfn.COMPOUNDVALUE(172)</f>
        <v>1377</v>
      </c>
      <c r="M23" s="120">
        <v>2500846</v>
      </c>
      <c r="N23" s="113">
        <v>1306</v>
      </c>
      <c r="O23" s="116">
        <v>31</v>
      </c>
      <c r="P23" s="116">
        <v>5</v>
      </c>
      <c r="Q23" s="117">
        <v>1342</v>
      </c>
      <c r="R23" s="76" t="s">
        <v>68</v>
      </c>
    </row>
    <row r="24" spans="1:18" ht="13.5">
      <c r="A24" s="75" t="s">
        <v>69</v>
      </c>
      <c r="B24" s="118">
        <f>_xlfn.COMPOUNDVALUE(173)</f>
        <v>879</v>
      </c>
      <c r="C24" s="119">
        <v>2320400</v>
      </c>
      <c r="D24" s="118">
        <f>_xlfn.COMPOUNDVALUE(174)</f>
        <v>682</v>
      </c>
      <c r="E24" s="119">
        <v>274507</v>
      </c>
      <c r="F24" s="118">
        <f>_xlfn.COMPOUNDVALUE(175)</f>
        <v>1561</v>
      </c>
      <c r="G24" s="119">
        <v>2594907</v>
      </c>
      <c r="H24" s="118">
        <f>_xlfn.COMPOUNDVALUE(176)</f>
        <v>42</v>
      </c>
      <c r="I24" s="120">
        <v>129687</v>
      </c>
      <c r="J24" s="118">
        <v>108</v>
      </c>
      <c r="K24" s="120">
        <v>7002</v>
      </c>
      <c r="L24" s="118">
        <f>_xlfn.COMPOUNDVALUE(176)</f>
        <v>1616</v>
      </c>
      <c r="M24" s="120">
        <v>2472222</v>
      </c>
      <c r="N24" s="113">
        <v>1526</v>
      </c>
      <c r="O24" s="116">
        <v>41</v>
      </c>
      <c r="P24" s="116" t="s">
        <v>133</v>
      </c>
      <c r="Q24" s="117">
        <v>1567</v>
      </c>
      <c r="R24" s="76" t="s">
        <v>70</v>
      </c>
    </row>
    <row r="25" spans="1:18" ht="13.5">
      <c r="A25" s="75" t="s">
        <v>71</v>
      </c>
      <c r="B25" s="118">
        <f>_xlfn.COMPOUNDVALUE(177)</f>
        <v>1686</v>
      </c>
      <c r="C25" s="119">
        <v>7757019</v>
      </c>
      <c r="D25" s="118">
        <f>_xlfn.COMPOUNDVALUE(178)</f>
        <v>1166</v>
      </c>
      <c r="E25" s="119">
        <v>465221</v>
      </c>
      <c r="F25" s="118">
        <f>_xlfn.COMPOUNDVALUE(179)</f>
        <v>2852</v>
      </c>
      <c r="G25" s="119">
        <v>8222240</v>
      </c>
      <c r="H25" s="118">
        <f>_xlfn.COMPOUNDVALUE(180)</f>
        <v>122</v>
      </c>
      <c r="I25" s="120">
        <v>672324</v>
      </c>
      <c r="J25" s="118">
        <v>125</v>
      </c>
      <c r="K25" s="120">
        <v>14744</v>
      </c>
      <c r="L25" s="118">
        <f>_xlfn.COMPOUNDVALUE(180)</f>
        <v>3012</v>
      </c>
      <c r="M25" s="120">
        <v>7564661</v>
      </c>
      <c r="N25" s="113">
        <v>2821</v>
      </c>
      <c r="O25" s="116">
        <v>69</v>
      </c>
      <c r="P25" s="116">
        <v>6</v>
      </c>
      <c r="Q25" s="117">
        <v>2896</v>
      </c>
      <c r="R25" s="76" t="s">
        <v>72</v>
      </c>
    </row>
    <row r="26" spans="1:18" ht="13.5">
      <c r="A26" s="77" t="s">
        <v>73</v>
      </c>
      <c r="B26" s="121">
        <v>12983</v>
      </c>
      <c r="C26" s="122">
        <v>58742197</v>
      </c>
      <c r="D26" s="121">
        <v>8736</v>
      </c>
      <c r="E26" s="122">
        <v>3587824</v>
      </c>
      <c r="F26" s="121">
        <v>21719</v>
      </c>
      <c r="G26" s="122">
        <v>62330021</v>
      </c>
      <c r="H26" s="121">
        <v>889</v>
      </c>
      <c r="I26" s="123">
        <v>4169258</v>
      </c>
      <c r="J26" s="121">
        <v>1264</v>
      </c>
      <c r="K26" s="123">
        <v>186581</v>
      </c>
      <c r="L26" s="121">
        <v>22880</v>
      </c>
      <c r="M26" s="123">
        <v>58347343</v>
      </c>
      <c r="N26" s="121">
        <v>21680</v>
      </c>
      <c r="O26" s="124">
        <v>509</v>
      </c>
      <c r="P26" s="124">
        <v>53</v>
      </c>
      <c r="Q26" s="125">
        <v>22242</v>
      </c>
      <c r="R26" s="78" t="s">
        <v>74</v>
      </c>
    </row>
    <row r="27" spans="1:18" ht="14.25" thickBot="1">
      <c r="A27" s="81"/>
      <c r="B27" s="132"/>
      <c r="C27" s="133"/>
      <c r="D27" s="132"/>
      <c r="E27" s="133"/>
      <c r="F27" s="134"/>
      <c r="G27" s="133"/>
      <c r="H27" s="134"/>
      <c r="I27" s="133"/>
      <c r="J27" s="134"/>
      <c r="K27" s="133"/>
      <c r="L27" s="134"/>
      <c r="M27" s="133"/>
      <c r="N27" s="135"/>
      <c r="O27" s="136"/>
      <c r="P27" s="136"/>
      <c r="Q27" s="137"/>
      <c r="R27" s="90" t="s">
        <v>101</v>
      </c>
    </row>
    <row r="28" spans="1:18" ht="15" thickBot="1" thickTop="1">
      <c r="A28" s="83" t="s">
        <v>76</v>
      </c>
      <c r="B28" s="138">
        <v>44757</v>
      </c>
      <c r="C28" s="139">
        <v>238182847</v>
      </c>
      <c r="D28" s="138">
        <v>31912</v>
      </c>
      <c r="E28" s="139">
        <v>13276747</v>
      </c>
      <c r="F28" s="138">
        <v>76669</v>
      </c>
      <c r="G28" s="139">
        <v>251459594</v>
      </c>
      <c r="H28" s="138">
        <v>3214</v>
      </c>
      <c r="I28" s="140">
        <v>19150059</v>
      </c>
      <c r="J28" s="138">
        <v>4330</v>
      </c>
      <c r="K28" s="140">
        <v>566140</v>
      </c>
      <c r="L28" s="138">
        <v>80792</v>
      </c>
      <c r="M28" s="140">
        <v>232875675</v>
      </c>
      <c r="N28" s="141">
        <v>77294</v>
      </c>
      <c r="O28" s="142">
        <v>1912</v>
      </c>
      <c r="P28" s="142">
        <v>202</v>
      </c>
      <c r="Q28" s="143">
        <v>79408</v>
      </c>
      <c r="R28" s="91" t="s">
        <v>76</v>
      </c>
    </row>
    <row r="29" spans="1:18" ht="13.5">
      <c r="A29" s="199" t="s">
        <v>103</v>
      </c>
      <c r="B29" s="199"/>
      <c r="C29" s="199"/>
      <c r="D29" s="199"/>
      <c r="E29" s="199"/>
      <c r="F29" s="199"/>
      <c r="G29" s="199"/>
      <c r="H29" s="199"/>
      <c r="I29" s="199"/>
      <c r="J29" s="112"/>
      <c r="K29" s="112"/>
      <c r="L29" s="112"/>
      <c r="M29" s="112"/>
      <c r="N29" s="112"/>
      <c r="O29" s="112"/>
      <c r="P29" s="112"/>
      <c r="Q29" s="112"/>
      <c r="R29" s="112"/>
    </row>
  </sheetData>
  <sheetProtection/>
  <mergeCells count="16">
    <mergeCell ref="A2:I2"/>
    <mergeCell ref="A3:A5"/>
    <mergeCell ref="B3:G3"/>
    <mergeCell ref="H3:I4"/>
    <mergeCell ref="J3:K4"/>
    <mergeCell ref="L3:M4"/>
    <mergeCell ref="A29:I29"/>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2016-06-10T10:31:40Z</cp:lastPrinted>
  <dcterms:created xsi:type="dcterms:W3CDTF">2003-07-09T01:05:10Z</dcterms:created>
  <dcterms:modified xsi:type="dcterms:W3CDTF">2016-06-10T10:31:45Z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