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901"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<sst xmlns="http://schemas.openxmlformats.org/spreadsheetml/2006/main" count="410" uniqueCount="117">
  <si>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</si>
  <si>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</si>
  <si>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</si>
  <si>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</si>
  <si>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</si>
  <si>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</si>
  <si>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</si>
  <si>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</si>
  <si>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</si>
  <si>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</si>
  <si>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</si>
  <si>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</si>
  <si>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</si>
  <si>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</si>
  <si>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</si>
  <si>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</si>
  <si>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</si>
  <si>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</si>
  <si>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</si>
  <si>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</si>
  <si>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</si>
  <si>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</si>
  <si>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</si>
  <si>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</si>
  <si>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</si>
  <si>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</si>
  <si>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</si>
  <si>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</si>
  <si>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</si>
  <si>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</si>
  <si>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</si>
  <si>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</si>
  <si>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</si>
  <si>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</si>
  <si>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</si>
  <si>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調査対象等：</t>
  </si>
  <si>
    <t>平成22年度</t>
  </si>
  <si>
    <t>税関分は含まない。</t>
  </si>
  <si>
    <t>「件数欄」の「実」は、実件数を示す。</t>
  </si>
  <si>
    <t>平成23年度</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</si>
  <si>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</si>
  <si>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</si>
  <si>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</si>
  <si>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</si>
  <si>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</si>
  <si>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</si>
  <si>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</si>
  <si>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</si>
  <si>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</si>
  <si>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</si>
  <si>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</si>
  <si>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</si>
  <si>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</si>
  <si>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</si>
  <si>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</si>
  <si>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</si>
  <si>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</si>
  <si>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</si>
  <si>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</si>
  <si>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</si>
  <si>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</si>
  <si>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</si>
  <si>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</si>
  <si>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</si>
  <si>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</si>
  <si>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</si>
  <si>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</si>
  <si>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</si>
  <si>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</si>
  <si>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</si>
  <si>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</si>
  <si>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</si>
  <si>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</si>
  <si>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</si>
  <si>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</si>
  <si>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</si>
  <si>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</si>
  <si>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</si>
  <si>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</si>
  <si>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</si>
  <si>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</si>
  <si>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</si>
  <si>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</si>
  <si>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</si>
  <si>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諫早</t>
  </si>
  <si>
    <t>福江</t>
  </si>
  <si>
    <t>平戸</t>
  </si>
  <si>
    <t>壱岐</t>
  </si>
  <si>
    <t>厳原</t>
  </si>
  <si>
    <t>長崎県計</t>
  </si>
  <si>
    <t>総　計</t>
  </si>
  <si>
    <t>総　計</t>
  </si>
  <si>
    <t>（注）この表は「(1)　課税状況」の現年分を税務署別に示したものである（加算税を除く。）。</t>
  </si>
  <si>
    <t>　ロ　法　　　人</t>
  </si>
  <si>
    <t>　ハ　個人事業者と法人の合計</t>
  </si>
  <si>
    <t>(4)　税務署別課税状況（続）</t>
  </si>
  <si>
    <t>課　税　事　業　者　等　届　出　件　数</t>
  </si>
  <si>
    <t>税務署名</t>
  </si>
  <si>
    <t>課税事業者
届出</t>
  </si>
  <si>
    <t>課税事業者
選択届出</t>
  </si>
  <si>
    <t>新設法人に
該当する旨
の届出</t>
  </si>
  <si>
    <t>合　　　計</t>
  </si>
  <si>
    <t>税　　額
(①－②＋③)</t>
  </si>
  <si>
    <t>福岡県計</t>
  </si>
  <si>
    <t/>
  </si>
  <si>
    <t>佐賀県計</t>
  </si>
  <si>
    <t>長崎県計</t>
  </si>
  <si>
    <t>（注）この表は「(1)　課税状況」の現年分及び「(3)　課税事業者等届出件数」を税務署別に示したものである（加算税を除く。）。</t>
  </si>
  <si>
    <t>総　計</t>
  </si>
  <si>
    <t>「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</si>
  <si>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</si>
  <si>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</si>
  <si>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平成21年度</t>
  </si>
  <si>
    <t>平成24年度</t>
  </si>
  <si>
    <t>調査対象等：平成24年度末（平成25年３月31日現在）の届出件数を示している。</t>
  </si>
  <si>
    <t>（注） １</t>
  </si>
  <si>
    <t>　　 　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</si>
</sst>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hair"/>
      <top style="thin">
        <color indexed="55"/>
      </top>
      <bottom style="thin">
        <color theme="0" tint="-0.3499799966812134"/>
      </bottom>
    </border>
    <border>
      <left style="hair"/>
      <right style="thin"/>
      <top style="thin">
        <color indexed="55"/>
      </top>
      <bottom/>
    </border>
    <border>
      <left style="hair"/>
      <right style="thin"/>
      <top style="thin">
        <color indexed="55"/>
      </top>
      <bottom style="thin">
        <color theme="0" tint="-0.3499799966812134"/>
      </bottom>
    </border>
    <border>
      <left style="thin"/>
      <right style="medium"/>
      <top style="thin">
        <color indexed="55"/>
      </top>
      <bottom style="thin">
        <color theme="0" tint="-0.3499799966812134"/>
      </bottom>
    </border>
    <border>
      <left style="hair"/>
      <right style="thin"/>
      <top style="thin">
        <color theme="0" tint="-0.3499799966812134"/>
      </top>
      <bottom style="hair">
        <color indexed="55"/>
      </bottom>
    </border>
    <border>
      <left style="thin"/>
      <right/>
      <top style="thin">
        <color indexed="55"/>
      </top>
      <bottom style="thin">
        <color theme="0" tint="-0.3499799966812134"/>
      </bottom>
    </border>
    <border>
      <left style="thin"/>
      <right style="medium"/>
      <top style="thin">
        <color indexed="55"/>
      </top>
      <bottom style="hair">
        <color indexed="55"/>
      </botto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color indexed="63"/>
      </right>
      <top>
        <color indexed="63"/>
      </top>
      <bottom style="medium"/>
    </border>
    <border>
      <left style="hair"/>
      <right/>
      <top/>
      <bottom style="medium"/>
    </border>
    <border>
      <left style="medium"/>
      <right/>
      <top/>
      <bottom style="hair">
        <color rgb="FF969696"/>
      </botto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hair"/>
      <right style="hair"/>
      <top>
        <color indexed="63"/>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medium"/>
      <right/>
      <top style="hair">
        <color rgb="FF969696"/>
      </top>
      <bottom style="thin">
        <color rgb="FF969696"/>
      </bottom>
    </border>
    <border>
      <left style="thin"/>
      <right style="hair"/>
      <top style="hair">
        <color rgb="FF969696"/>
      </top>
      <bottom style="thin">
        <color rgb="FF969696"/>
      </bottom>
    </border>
    <border>
      <left style="hair"/>
      <right style="thin"/>
      <top style="hair">
        <color rgb="FF969696"/>
      </top>
      <bottom style="thin">
        <color rgb="FF969696"/>
      </bottom>
    </border>
    <border>
      <left style="hair"/>
      <right/>
      <top style="hair">
        <color rgb="FF969696"/>
      </top>
      <bottom style="thin">
        <color rgb="FF969696"/>
      </bottom>
    </border>
    <border>
      <left style="hair"/>
      <right style="hair"/>
      <top style="hair">
        <color rgb="FF969696"/>
      </top>
      <bottom style="thin">
        <color rgb="FF969696"/>
      </bottom>
    </border>
    <border>
      <left style="thin"/>
      <right style="medium"/>
      <top style="hair">
        <color rgb="FF969696"/>
      </top>
      <bottom style="thin">
        <color rgb="FF969696"/>
      </bottom>
    </border>
    <border>
      <left style="medium"/>
      <right/>
      <top style="thin">
        <color rgb="FF969696"/>
      </top>
      <bottom style="thin">
        <color rgb="FF969696"/>
      </bottom>
    </border>
    <border>
      <left style="thin"/>
      <right style="hair"/>
      <top style="thin">
        <color rgb="FF969696"/>
      </top>
      <bottom style="thin">
        <color rgb="FFA5A5A5"/>
      </bottom>
    </border>
    <border>
      <left style="hair"/>
      <right style="thin"/>
      <top style="thin">
        <color rgb="FF969696"/>
      </top>
      <bottom style="thin">
        <color rgb="FFA5A5A5"/>
      </bottom>
    </border>
    <border>
      <left style="thin"/>
      <right/>
      <top style="thin">
        <color rgb="FF969696"/>
      </top>
      <bottom style="thin">
        <color rgb="FFA5A5A5"/>
      </bottom>
    </border>
    <border>
      <left style="hair"/>
      <right style="hair"/>
      <top style="thin">
        <color rgb="FF969696"/>
      </top>
      <bottom style="thin">
        <color rgb="FFA5A5A5"/>
      </bottom>
    </border>
    <border>
      <left style="hair"/>
      <right/>
      <top style="thin">
        <color rgb="FF969696"/>
      </top>
      <bottom style="thin">
        <color rgb="FFA5A5A5"/>
      </bottom>
    </border>
    <border>
      <left style="thin"/>
      <right style="medium"/>
      <top style="thin">
        <color rgb="FF808080"/>
      </top>
      <bottom style="thin">
        <color rgb="FFA5A5A5"/>
      </bottom>
    </border>
    <border>
      <left style="thin"/>
      <right style="hair"/>
      <top style="thin">
        <color rgb="FF969696"/>
      </top>
      <bottom/>
    </border>
    <border>
      <left style="hair"/>
      <right style="hair"/>
      <top style="thin">
        <color rgb="FF969696"/>
      </top>
      <bottom/>
    </border>
    <border>
      <left style="hair"/>
      <right/>
      <top style="thin">
        <color rgb="FF969696"/>
      </top>
      <bottom/>
    </border>
    <border>
      <left style="thin"/>
      <right style="medium"/>
      <top style="thin">
        <color rgb="FF808080"/>
      </top>
      <bottom/>
    </border>
    <border>
      <left style="thin"/>
      <right style="hair"/>
      <top style="thin">
        <color rgb="FF969696"/>
      </top>
      <bottom style="hair">
        <color rgb="FF969696"/>
      </bottom>
    </border>
    <border>
      <left style="hair"/>
      <right style="hair"/>
      <top style="thin">
        <color rgb="FF969696"/>
      </top>
      <bottom style="hair">
        <color rgb="FF969696"/>
      </bottom>
    </border>
    <border>
      <left style="hair"/>
      <right/>
      <top style="thin">
        <color rgb="FF969696"/>
      </top>
      <bottom style="hair">
        <color rgb="FF969696"/>
      </bottom>
    </border>
    <border>
      <left style="thin"/>
      <right style="medium"/>
      <top style="thin">
        <color rgb="FF969696"/>
      </top>
      <bottom style="hair">
        <color rgb="FF969696"/>
      </botto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5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3" fontId="2" fillId="33" borderId="20" xfId="0" applyNumberFormat="1" applyFont="1" applyFill="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6" fillId="0" borderId="22" xfId="0" applyFont="1" applyBorder="1" applyAlignment="1">
      <alignment horizontal="right" vertical="center"/>
    </xf>
    <xf numFmtId="0" fontId="2" fillId="0" borderId="23" xfId="0"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34"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6" fillId="33" borderId="25" xfId="0" applyNumberFormat="1" applyFont="1" applyFill="1" applyBorder="1" applyAlignment="1">
      <alignment horizontal="right" vertical="center"/>
    </xf>
    <xf numFmtId="3" fontId="6"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6"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6" fillId="0" borderId="26"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4"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0" fontId="6" fillId="0" borderId="39" xfId="0" applyFont="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6"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2" xfId="0" applyFont="1" applyBorder="1" applyAlignment="1">
      <alignment horizontal="center" vertical="center"/>
    </xf>
    <xf numFmtId="3" fontId="2" fillId="33" borderId="47" xfId="0" applyNumberFormat="1" applyFont="1" applyFill="1" applyBorder="1" applyAlignment="1">
      <alignment vertical="center"/>
    </xf>
    <xf numFmtId="3" fontId="2" fillId="33" borderId="25" xfId="0" applyNumberFormat="1" applyFont="1" applyFill="1" applyBorder="1" applyAlignment="1">
      <alignment vertical="center"/>
    </xf>
    <xf numFmtId="3" fontId="2" fillId="0" borderId="22" xfId="0" applyNumberFormat="1" applyFont="1" applyBorder="1" applyAlignment="1">
      <alignment horizontal="center" vertical="center"/>
    </xf>
    <xf numFmtId="0" fontId="2" fillId="0" borderId="48" xfId="0" applyFont="1" applyBorder="1" applyAlignment="1">
      <alignment horizontal="distributed"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7" fillId="0" borderId="51"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1"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2" xfId="0" applyNumberFormat="1" applyFont="1" applyFill="1" applyBorder="1" applyAlignment="1">
      <alignment horizontal="right" vertical="center"/>
    </xf>
    <xf numFmtId="0" fontId="2" fillId="0" borderId="51"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1"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3" fontId="2" fillId="33" borderId="47" xfId="0" applyNumberFormat="1" applyFont="1" applyFill="1" applyBorder="1" applyAlignment="1">
      <alignment horizontal="right" vertical="center"/>
    </xf>
    <xf numFmtId="0" fontId="2" fillId="0" borderId="57" xfId="0" applyFont="1" applyBorder="1" applyAlignment="1">
      <alignment horizontal="left" vertical="top" wrapText="1"/>
    </xf>
    <xf numFmtId="0" fontId="5" fillId="0" borderId="0" xfId="0" applyFont="1" applyAlignment="1">
      <alignment horizontal="center" vertical="top"/>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58"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59" xfId="61" applyFont="1" applyBorder="1" applyAlignment="1">
      <alignment horizontal="distributed" vertical="center" indent="1"/>
      <protection/>
    </xf>
    <xf numFmtId="0" fontId="2" fillId="0" borderId="60" xfId="61" applyFont="1" applyBorder="1" applyAlignment="1">
      <alignment horizontal="distributed" vertical="center" indent="1"/>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61" xfId="61" applyFont="1" applyBorder="1" applyAlignment="1">
      <alignment horizontal="centerContinuous" vertical="center" wrapText="1"/>
      <protection/>
    </xf>
    <xf numFmtId="0" fontId="7" fillId="35" borderId="51" xfId="61" applyFont="1" applyFill="1" applyBorder="1" applyAlignment="1">
      <alignment horizontal="distributed" vertical="top"/>
      <protection/>
    </xf>
    <xf numFmtId="0" fontId="7" fillId="33" borderId="13" xfId="61" applyFont="1" applyFill="1" applyBorder="1" applyAlignment="1">
      <alignment horizontal="right" vertical="top"/>
      <protection/>
    </xf>
    <xf numFmtId="0" fontId="7" fillId="34" borderId="10" xfId="61" applyFont="1" applyFill="1" applyBorder="1" applyAlignment="1">
      <alignment horizontal="right" vertical="top"/>
      <protection/>
    </xf>
    <xf numFmtId="0" fontId="7" fillId="34" borderId="62" xfId="61" applyFont="1" applyFill="1" applyBorder="1" applyAlignment="1">
      <alignment horizontal="right" vertical="top"/>
      <protection/>
    </xf>
    <xf numFmtId="0" fontId="7" fillId="35" borderId="56" xfId="61" applyFont="1" applyFill="1" applyBorder="1" applyAlignment="1">
      <alignment horizontal="distributed" vertical="top"/>
      <protection/>
    </xf>
    <xf numFmtId="0" fontId="2" fillId="36" borderId="63" xfId="61" applyFont="1" applyFill="1" applyBorder="1" applyAlignment="1">
      <alignment horizontal="distributed" vertical="center"/>
      <protection/>
    </xf>
    <xf numFmtId="177" fontId="2" fillId="33" borderId="52" xfId="61" applyNumberFormat="1" applyFont="1" applyFill="1" applyBorder="1" applyAlignment="1">
      <alignment horizontal="right" vertical="center"/>
      <protection/>
    </xf>
    <xf numFmtId="177" fontId="2" fillId="34" borderId="48" xfId="61" applyNumberFormat="1" applyFont="1" applyFill="1" applyBorder="1" applyAlignment="1">
      <alignment horizontal="right" vertical="center"/>
      <protection/>
    </xf>
    <xf numFmtId="177" fontId="2" fillId="34" borderId="64" xfId="61" applyNumberFormat="1" applyFont="1" applyFill="1" applyBorder="1" applyAlignment="1">
      <alignment horizontal="right" vertical="center"/>
      <protection/>
    </xf>
    <xf numFmtId="0" fontId="2" fillId="36" borderId="65" xfId="61" applyFont="1" applyFill="1" applyBorder="1" applyAlignment="1">
      <alignment horizontal="distributed" vertical="center"/>
      <protection/>
    </xf>
    <xf numFmtId="0" fontId="2" fillId="36" borderId="66" xfId="61" applyFont="1" applyFill="1" applyBorder="1" applyAlignment="1">
      <alignment horizontal="distributed" vertical="center"/>
      <protection/>
    </xf>
    <xf numFmtId="177" fontId="2" fillId="33" borderId="67" xfId="61" applyNumberFormat="1" applyFont="1" applyFill="1" applyBorder="1" applyAlignment="1">
      <alignment horizontal="right" vertical="center"/>
      <protection/>
    </xf>
    <xf numFmtId="177" fontId="2" fillId="34" borderId="26" xfId="61" applyNumberFormat="1" applyFont="1" applyFill="1" applyBorder="1" applyAlignment="1">
      <alignment horizontal="right" vertical="center"/>
      <protection/>
    </xf>
    <xf numFmtId="177" fontId="2" fillId="34" borderId="68" xfId="61" applyNumberFormat="1" applyFont="1" applyFill="1" applyBorder="1" applyAlignment="1">
      <alignment horizontal="right" vertical="center"/>
      <protection/>
    </xf>
    <xf numFmtId="0" fontId="2" fillId="36" borderId="69" xfId="61" applyFont="1" applyFill="1" applyBorder="1" applyAlignment="1">
      <alignment horizontal="distributed" vertical="center"/>
      <protection/>
    </xf>
    <xf numFmtId="0" fontId="6" fillId="36" borderId="70" xfId="61" applyFont="1" applyFill="1" applyBorder="1" applyAlignment="1">
      <alignment horizontal="distributed" vertical="center"/>
      <protection/>
    </xf>
    <xf numFmtId="177" fontId="6" fillId="33" borderId="71" xfId="61" applyNumberFormat="1" applyFont="1" applyFill="1" applyBorder="1" applyAlignment="1">
      <alignment horizontal="right" vertical="center"/>
      <protection/>
    </xf>
    <xf numFmtId="177" fontId="6" fillId="34" borderId="72" xfId="61" applyNumberFormat="1" applyFont="1" applyFill="1" applyBorder="1" applyAlignment="1">
      <alignment horizontal="right" vertical="center"/>
      <protection/>
    </xf>
    <xf numFmtId="177" fontId="6" fillId="34" borderId="73" xfId="61" applyNumberFormat="1" applyFont="1" applyFill="1" applyBorder="1" applyAlignment="1">
      <alignment horizontal="right" vertical="center"/>
      <protection/>
    </xf>
    <xf numFmtId="0" fontId="6" fillId="36" borderId="74" xfId="61" applyFont="1" applyFill="1" applyBorder="1" applyAlignment="1">
      <alignment horizontal="distributed" vertical="center"/>
      <protection/>
    </xf>
    <xf numFmtId="0" fontId="8" fillId="0" borderId="75" xfId="61" applyFont="1" applyFill="1" applyBorder="1" applyAlignment="1">
      <alignment horizontal="distributed" vertical="center"/>
      <protection/>
    </xf>
    <xf numFmtId="177" fontId="8" fillId="0" borderId="76" xfId="61" applyNumberFormat="1" applyFont="1" applyFill="1" applyBorder="1" applyAlignment="1">
      <alignment horizontal="right" vertical="center"/>
      <protection/>
    </xf>
    <xf numFmtId="177" fontId="8" fillId="0" borderId="77" xfId="61" applyNumberFormat="1" applyFont="1" applyFill="1" applyBorder="1" applyAlignment="1">
      <alignment horizontal="right" vertical="center"/>
      <protection/>
    </xf>
    <xf numFmtId="177" fontId="8" fillId="0" borderId="78" xfId="61" applyNumberFormat="1" applyFont="1" applyFill="1" applyBorder="1" applyAlignment="1">
      <alignment horizontal="right" vertical="center"/>
      <protection/>
    </xf>
    <xf numFmtId="0" fontId="8" fillId="0" borderId="79" xfId="61" applyFont="1" applyFill="1" applyBorder="1" applyAlignment="1">
      <alignment horizontal="center" vertical="center"/>
      <protection/>
    </xf>
    <xf numFmtId="177" fontId="2" fillId="34" borderId="80" xfId="61" applyNumberFormat="1" applyFont="1" applyFill="1" applyBorder="1" applyAlignment="1">
      <alignment horizontal="right" vertical="center"/>
      <protection/>
    </xf>
    <xf numFmtId="177" fontId="8" fillId="0" borderId="81" xfId="61" applyNumberFormat="1" applyFont="1" applyFill="1" applyBorder="1" applyAlignment="1">
      <alignment horizontal="right" vertical="center"/>
      <protection/>
    </xf>
    <xf numFmtId="0" fontId="2" fillId="36" borderId="82" xfId="61" applyFont="1" applyFill="1" applyBorder="1" applyAlignment="1">
      <alignment horizontal="distributed" vertical="center"/>
      <protection/>
    </xf>
    <xf numFmtId="0" fontId="8" fillId="0" borderId="83" xfId="61" applyFont="1" applyFill="1" applyBorder="1" applyAlignment="1">
      <alignment horizontal="distributed"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0" fontId="8" fillId="0" borderId="87" xfId="61" applyFont="1" applyFill="1" applyBorder="1" applyAlignment="1">
      <alignment horizontal="center" vertical="center"/>
      <protection/>
    </xf>
    <xf numFmtId="0" fontId="6" fillId="0" borderId="88" xfId="61" applyFont="1" applyBorder="1" applyAlignment="1">
      <alignment horizontal="center" vertical="center"/>
      <protection/>
    </xf>
    <xf numFmtId="177" fontId="6" fillId="33" borderId="23" xfId="61" applyNumberFormat="1" applyFont="1" applyFill="1" applyBorder="1" applyAlignment="1">
      <alignment horizontal="right" vertical="center"/>
      <protection/>
    </xf>
    <xf numFmtId="177" fontId="6" fillId="34" borderId="34" xfId="61" applyNumberFormat="1" applyFont="1" applyFill="1" applyBorder="1" applyAlignment="1">
      <alignment horizontal="right" vertical="center"/>
      <protection/>
    </xf>
    <xf numFmtId="177" fontId="6" fillId="34" borderId="89" xfId="61" applyNumberFormat="1" applyFont="1" applyFill="1" applyBorder="1" applyAlignment="1">
      <alignment horizontal="right" vertical="center"/>
      <protection/>
    </xf>
    <xf numFmtId="0" fontId="6" fillId="0" borderId="16"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0" xfId="61" applyFont="1" applyBorder="1" applyAlignment="1">
      <alignment horizontal="left" vertical="top"/>
      <protection/>
    </xf>
    <xf numFmtId="0" fontId="0" fillId="0" borderId="0" xfId="0" applyFill="1" applyBorder="1" applyAlignment="1">
      <alignment/>
    </xf>
    <xf numFmtId="0" fontId="0" fillId="0" borderId="0" xfId="61" applyFont="1" applyBorder="1">
      <alignment/>
      <protection/>
    </xf>
    <xf numFmtId="0" fontId="2" fillId="0" borderId="60" xfId="61" applyFont="1" applyBorder="1" applyAlignment="1">
      <alignment horizontal="center" vertical="center" wrapText="1"/>
      <protection/>
    </xf>
    <xf numFmtId="0" fontId="7" fillId="37" borderId="51" xfId="61" applyFont="1" applyFill="1" applyBorder="1" applyAlignment="1">
      <alignment horizontal="distributed" vertical="top"/>
      <protection/>
    </xf>
    <xf numFmtId="0" fontId="7" fillId="38" borderId="13" xfId="61" applyFont="1" applyFill="1" applyBorder="1" applyAlignment="1">
      <alignment horizontal="right" vertical="top"/>
      <protection/>
    </xf>
    <xf numFmtId="0" fontId="7" fillId="39" borderId="10" xfId="61" applyFont="1" applyFill="1" applyBorder="1" applyAlignment="1">
      <alignment horizontal="right" vertical="top"/>
      <protection/>
    </xf>
    <xf numFmtId="0" fontId="7" fillId="38" borderId="46" xfId="61" applyFont="1" applyFill="1" applyBorder="1" applyAlignment="1">
      <alignment horizontal="right" vertical="top"/>
      <protection/>
    </xf>
    <xf numFmtId="0" fontId="7" fillId="38" borderId="62" xfId="61" applyFont="1" applyFill="1" applyBorder="1" applyAlignment="1">
      <alignment horizontal="right" vertical="top"/>
      <protection/>
    </xf>
    <xf numFmtId="0" fontId="7" fillId="37" borderId="56" xfId="61" applyFont="1" applyFill="1" applyBorder="1" applyAlignment="1">
      <alignment horizontal="distributed" vertical="top"/>
      <protection/>
    </xf>
    <xf numFmtId="0" fontId="2" fillId="37" borderId="90" xfId="61" applyFont="1" applyFill="1" applyBorder="1" applyAlignment="1">
      <alignment horizontal="distributed" vertical="center"/>
      <protection/>
    </xf>
    <xf numFmtId="177" fontId="2" fillId="38" borderId="91" xfId="61" applyNumberFormat="1" applyFont="1" applyFill="1" applyBorder="1" applyAlignment="1">
      <alignment horizontal="right" vertical="center"/>
      <protection/>
    </xf>
    <xf numFmtId="177" fontId="2" fillId="39" borderId="92" xfId="61" applyNumberFormat="1" applyFont="1" applyFill="1" applyBorder="1" applyAlignment="1">
      <alignment horizontal="right" vertical="center"/>
      <protection/>
    </xf>
    <xf numFmtId="177" fontId="2" fillId="39" borderId="93" xfId="61" applyNumberFormat="1" applyFont="1" applyFill="1" applyBorder="1" applyAlignment="1">
      <alignment horizontal="right" vertical="center"/>
      <protection/>
    </xf>
    <xf numFmtId="177" fontId="2" fillId="38" borderId="94" xfId="61" applyNumberFormat="1" applyFont="1" applyFill="1" applyBorder="1" applyAlignment="1">
      <alignment horizontal="right" vertical="center"/>
      <protection/>
    </xf>
    <xf numFmtId="177" fontId="2" fillId="38" borderId="93" xfId="61" applyNumberFormat="1" applyFont="1" applyFill="1" applyBorder="1" applyAlignment="1">
      <alignment horizontal="right" vertical="center"/>
      <protection/>
    </xf>
    <xf numFmtId="0" fontId="2" fillId="37" borderId="95" xfId="61" applyFont="1" applyFill="1" applyBorder="1" applyAlignment="1">
      <alignment horizontal="distributed" vertical="center"/>
      <protection/>
    </xf>
    <xf numFmtId="0" fontId="2" fillId="37" borderId="96" xfId="61" applyFont="1" applyFill="1" applyBorder="1" applyAlignment="1">
      <alignment horizontal="distributed" vertical="center"/>
      <protection/>
    </xf>
    <xf numFmtId="177" fontId="2" fillId="38" borderId="97" xfId="61" applyNumberFormat="1" applyFont="1" applyFill="1" applyBorder="1" applyAlignment="1">
      <alignment horizontal="right" vertical="center"/>
      <protection/>
    </xf>
    <xf numFmtId="177" fontId="2" fillId="39" borderId="98" xfId="61" applyNumberFormat="1" applyFont="1" applyFill="1" applyBorder="1" applyAlignment="1">
      <alignment horizontal="right" vertical="center"/>
      <protection/>
    </xf>
    <xf numFmtId="177" fontId="2" fillId="39" borderId="99" xfId="61" applyNumberFormat="1" applyFont="1" applyFill="1" applyBorder="1" applyAlignment="1">
      <alignment horizontal="right" vertical="center"/>
      <protection/>
    </xf>
    <xf numFmtId="0" fontId="6" fillId="37" borderId="100" xfId="61" applyFont="1" applyFill="1" applyBorder="1" applyAlignment="1">
      <alignment horizontal="distributed" vertical="center"/>
      <protection/>
    </xf>
    <xf numFmtId="177" fontId="6" fillId="38" borderId="101" xfId="61" applyNumberFormat="1" applyFont="1" applyFill="1" applyBorder="1" applyAlignment="1">
      <alignment horizontal="right" vertical="center"/>
      <protection/>
    </xf>
    <xf numFmtId="177" fontId="6" fillId="39" borderId="102" xfId="61" applyNumberFormat="1" applyFont="1" applyFill="1" applyBorder="1" applyAlignment="1">
      <alignment horizontal="right" vertical="center"/>
      <protection/>
    </xf>
    <xf numFmtId="177" fontId="6" fillId="39" borderId="103" xfId="61" applyNumberFormat="1" applyFont="1" applyFill="1" applyBorder="1" applyAlignment="1">
      <alignment horizontal="right" vertical="center"/>
      <protection/>
    </xf>
    <xf numFmtId="177" fontId="6" fillId="38" borderId="104" xfId="61" applyNumberFormat="1" applyFont="1" applyFill="1" applyBorder="1" applyAlignment="1">
      <alignment horizontal="right" vertical="center"/>
      <protection/>
    </xf>
    <xf numFmtId="177" fontId="6" fillId="38" borderId="103" xfId="61" applyNumberFormat="1" applyFont="1" applyFill="1" applyBorder="1" applyAlignment="1">
      <alignment horizontal="right" vertical="center"/>
      <protection/>
    </xf>
    <xf numFmtId="0" fontId="6" fillId="37" borderId="105" xfId="61" applyFont="1" applyFill="1" applyBorder="1" applyAlignment="1">
      <alignment horizontal="distributed" vertical="center"/>
      <protection/>
    </xf>
    <xf numFmtId="0" fontId="8" fillId="0" borderId="106" xfId="61" applyFont="1" applyFill="1" applyBorder="1" applyAlignment="1">
      <alignment horizontal="distributed" vertical="center"/>
      <protection/>
    </xf>
    <xf numFmtId="177" fontId="8" fillId="0" borderId="107" xfId="61" applyNumberFormat="1" applyFont="1" applyFill="1" applyBorder="1" applyAlignment="1">
      <alignment horizontal="right" vertical="center"/>
      <protection/>
    </xf>
    <xf numFmtId="177" fontId="8" fillId="0" borderId="108" xfId="61" applyNumberFormat="1" applyFont="1" applyFill="1" applyBorder="1" applyAlignment="1">
      <alignment horizontal="right" vertical="center"/>
      <protection/>
    </xf>
    <xf numFmtId="177" fontId="8" fillId="0" borderId="109" xfId="61" applyNumberFormat="1" applyFont="1" applyFill="1" applyBorder="1" applyAlignment="1">
      <alignment horizontal="right" vertical="center"/>
      <protection/>
    </xf>
    <xf numFmtId="177" fontId="2" fillId="0" borderId="107" xfId="61" applyNumberFormat="1" applyFont="1" applyFill="1" applyBorder="1" applyAlignment="1">
      <alignment horizontal="right" vertical="center"/>
      <protection/>
    </xf>
    <xf numFmtId="177" fontId="2" fillId="0" borderId="110" xfId="61" applyNumberFormat="1" applyFont="1" applyFill="1" applyBorder="1" applyAlignment="1">
      <alignment horizontal="right" vertical="center"/>
      <protection/>
    </xf>
    <xf numFmtId="177" fontId="2" fillId="0" borderId="111" xfId="61" applyNumberFormat="1" applyFont="1" applyFill="1" applyBorder="1" applyAlignment="1">
      <alignment horizontal="right" vertical="center"/>
      <protection/>
    </xf>
    <xf numFmtId="0" fontId="8" fillId="0" borderId="112" xfId="61" applyFont="1" applyFill="1" applyBorder="1" applyAlignment="1">
      <alignment horizontal="center" vertical="center"/>
      <protection/>
    </xf>
    <xf numFmtId="177" fontId="2" fillId="0" borderId="113" xfId="61" applyNumberFormat="1" applyFont="1" applyFill="1" applyBorder="1" applyAlignment="1">
      <alignment horizontal="right" vertical="center"/>
      <protection/>
    </xf>
    <xf numFmtId="177" fontId="2" fillId="0" borderId="114" xfId="61" applyNumberFormat="1" applyFont="1" applyFill="1" applyBorder="1" applyAlignment="1">
      <alignment horizontal="right" vertical="center"/>
      <protection/>
    </xf>
    <xf numFmtId="177" fontId="2" fillId="0" borderId="115" xfId="61" applyNumberFormat="1" applyFont="1" applyFill="1" applyBorder="1" applyAlignment="1">
      <alignment horizontal="right" vertical="center"/>
      <protection/>
    </xf>
    <xf numFmtId="0" fontId="8" fillId="0" borderId="116" xfId="61" applyFont="1" applyFill="1" applyBorder="1" applyAlignment="1">
      <alignment horizontal="center" vertical="center"/>
      <protection/>
    </xf>
    <xf numFmtId="177" fontId="2" fillId="38" borderId="117" xfId="61" applyNumberFormat="1" applyFont="1" applyFill="1" applyBorder="1" applyAlignment="1">
      <alignment horizontal="right" vertical="center"/>
      <protection/>
    </xf>
    <xf numFmtId="177" fontId="2" fillId="38" borderId="118" xfId="61" applyNumberFormat="1" applyFont="1" applyFill="1" applyBorder="1" applyAlignment="1">
      <alignment horizontal="right" vertical="center"/>
      <protection/>
    </xf>
    <xf numFmtId="177" fontId="2" fillId="38" borderId="119" xfId="61" applyNumberFormat="1" applyFont="1" applyFill="1" applyBorder="1" applyAlignment="1">
      <alignment horizontal="right" vertical="center"/>
      <protection/>
    </xf>
    <xf numFmtId="0" fontId="2" fillId="37" borderId="120" xfId="61" applyFont="1" applyFill="1" applyBorder="1" applyAlignment="1">
      <alignment horizontal="distributed" vertical="center"/>
      <protection/>
    </xf>
    <xf numFmtId="177" fontId="2" fillId="0" borderId="121" xfId="61" applyNumberFormat="1" applyFont="1" applyFill="1" applyBorder="1" applyAlignment="1">
      <alignment horizontal="right" vertical="center"/>
      <protection/>
    </xf>
    <xf numFmtId="177" fontId="2" fillId="0" borderId="122" xfId="61" applyNumberFormat="1" applyFont="1" applyFill="1" applyBorder="1" applyAlignment="1">
      <alignment horizontal="right" vertical="center"/>
      <protection/>
    </xf>
    <xf numFmtId="177" fontId="2" fillId="0" borderId="123" xfId="61" applyNumberFormat="1" applyFont="1" applyFill="1" applyBorder="1" applyAlignment="1">
      <alignment horizontal="right" vertical="center"/>
      <protection/>
    </xf>
    <xf numFmtId="177" fontId="6" fillId="38" borderId="23" xfId="61" applyNumberFormat="1" applyFont="1" applyFill="1" applyBorder="1" applyAlignment="1">
      <alignment horizontal="right" vertical="center"/>
      <protection/>
    </xf>
    <xf numFmtId="177" fontId="6" fillId="39" borderId="34" xfId="61" applyNumberFormat="1" applyFont="1" applyFill="1" applyBorder="1" applyAlignment="1">
      <alignment horizontal="right" vertical="center"/>
      <protection/>
    </xf>
    <xf numFmtId="177" fontId="6" fillId="39" borderId="89" xfId="61" applyNumberFormat="1" applyFont="1" applyFill="1" applyBorder="1" applyAlignment="1">
      <alignment horizontal="right" vertical="center"/>
      <protection/>
    </xf>
    <xf numFmtId="177" fontId="6" fillId="38" borderId="124" xfId="61" applyNumberFormat="1" applyFont="1" applyFill="1" applyBorder="1" applyAlignment="1">
      <alignment horizontal="right" vertical="center"/>
      <protection/>
    </xf>
    <xf numFmtId="177" fontId="6" fillId="38" borderId="125" xfId="61" applyNumberFormat="1" applyFont="1" applyFill="1" applyBorder="1" applyAlignment="1">
      <alignment horizontal="right" vertical="center"/>
      <protection/>
    </xf>
    <xf numFmtId="177" fontId="6" fillId="38" borderId="126" xfId="61" applyNumberFormat="1" applyFont="1" applyFill="1" applyBorder="1" applyAlignment="1">
      <alignment horizontal="right" vertical="center"/>
      <protection/>
    </xf>
    <xf numFmtId="0" fontId="6" fillId="0" borderId="127" xfId="61" applyFont="1" applyBorder="1" applyAlignment="1">
      <alignment horizontal="center" vertical="center"/>
      <protection/>
    </xf>
    <xf numFmtId="177" fontId="8" fillId="0" borderId="128" xfId="61" applyNumberFormat="1" applyFont="1" applyFill="1" applyBorder="1" applyAlignment="1">
      <alignment horizontal="right" vertical="center"/>
      <protection/>
    </xf>
    <xf numFmtId="177" fontId="8" fillId="0" borderId="129" xfId="61" applyNumberFormat="1" applyFont="1" applyFill="1" applyBorder="1" applyAlignment="1">
      <alignment horizontal="right" vertical="center"/>
      <protection/>
    </xf>
    <xf numFmtId="177" fontId="8" fillId="0" borderId="130" xfId="61" applyNumberFormat="1" applyFont="1" applyFill="1" applyBorder="1" applyAlignment="1">
      <alignment horizontal="right" vertical="center"/>
      <protection/>
    </xf>
    <xf numFmtId="0" fontId="2" fillId="0" borderId="131" xfId="0" applyFont="1" applyBorder="1" applyAlignment="1">
      <alignment horizontal="distributed" vertical="center" wrapText="1"/>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xf>
    <xf numFmtId="0" fontId="6" fillId="0" borderId="135" xfId="0" applyFont="1" applyBorder="1" applyAlignment="1">
      <alignment horizontal="distributed" vertical="center"/>
    </xf>
    <xf numFmtId="0" fontId="6" fillId="0" borderId="136" xfId="0" applyFont="1" applyBorder="1" applyAlignment="1">
      <alignment horizontal="distributed" vertical="center"/>
    </xf>
    <xf numFmtId="0" fontId="2" fillId="0" borderId="88" xfId="0" applyFont="1" applyBorder="1" applyAlignment="1">
      <alignment horizontal="distributed" vertical="center"/>
    </xf>
    <xf numFmtId="0" fontId="2" fillId="0" borderId="137" xfId="0" applyFont="1" applyBorder="1" applyAlignment="1">
      <alignment horizontal="distributed" vertical="center"/>
    </xf>
    <xf numFmtId="0" fontId="2" fillId="0" borderId="57"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146" xfId="0" applyFont="1" applyBorder="1" applyAlignment="1">
      <alignment horizontal="center" vertical="center"/>
    </xf>
    <xf numFmtId="0" fontId="2" fillId="0" borderId="57" xfId="0" applyFont="1" applyBorder="1" applyAlignment="1">
      <alignment horizontal="center" vertical="center"/>
    </xf>
    <xf numFmtId="0" fontId="2" fillId="0" borderId="147" xfId="0" applyFont="1" applyBorder="1" applyAlignment="1">
      <alignment horizontal="center" vertical="center"/>
    </xf>
    <xf numFmtId="0" fontId="2" fillId="0" borderId="133"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32" xfId="0" applyFont="1" applyBorder="1" applyAlignment="1">
      <alignment horizontal="center" vertical="center"/>
    </xf>
    <xf numFmtId="0" fontId="2" fillId="0" borderId="57" xfId="0" applyFont="1" applyBorder="1" applyAlignment="1">
      <alignment horizontal="left" vertical="center"/>
    </xf>
    <xf numFmtId="0" fontId="2" fillId="0" borderId="0" xfId="0" applyFont="1" applyAlignment="1">
      <alignment horizontal="left" vertical="center"/>
    </xf>
    <xf numFmtId="0" fontId="2" fillId="0" borderId="152" xfId="61" applyFont="1" applyBorder="1" applyAlignment="1">
      <alignment horizontal="center" vertical="center"/>
      <protection/>
    </xf>
    <xf numFmtId="0" fontId="2" fillId="0" borderId="153" xfId="61" applyFont="1" applyBorder="1" applyAlignment="1">
      <alignment horizontal="center" vertical="center"/>
      <protection/>
    </xf>
    <xf numFmtId="0" fontId="2" fillId="0" borderId="154" xfId="61" applyFont="1" applyBorder="1" applyAlignment="1">
      <alignment horizontal="center" vertical="center"/>
      <protection/>
    </xf>
    <xf numFmtId="0" fontId="2" fillId="0" borderId="155" xfId="61" applyFont="1" applyBorder="1" applyAlignment="1">
      <alignment horizontal="center" vertical="center"/>
      <protection/>
    </xf>
    <xf numFmtId="0" fontId="2" fillId="0" borderId="58" xfId="61" applyFont="1" applyBorder="1" applyAlignment="1">
      <alignment horizontal="distributed" vertical="center" wrapText="1"/>
      <protection/>
    </xf>
    <xf numFmtId="0" fontId="2" fillId="0" borderId="156" xfId="61" applyFont="1" applyBorder="1" applyAlignment="1">
      <alignment horizontal="distributed" vertical="center" wrapText="1"/>
      <protection/>
    </xf>
    <xf numFmtId="0" fontId="2" fillId="0" borderId="157" xfId="61" applyFont="1" applyBorder="1" applyAlignment="1">
      <alignment horizontal="distributed" vertical="center" wrapText="1"/>
      <protection/>
    </xf>
    <xf numFmtId="0" fontId="2" fillId="0" borderId="158" xfId="61" applyFont="1" applyBorder="1" applyAlignment="1">
      <alignment horizontal="center" vertical="center"/>
      <protection/>
    </xf>
    <xf numFmtId="0" fontId="2" fillId="0" borderId="159" xfId="61" applyFont="1" applyBorder="1" applyAlignment="1">
      <alignment horizontal="center" vertical="center"/>
      <protection/>
    </xf>
    <xf numFmtId="0" fontId="2" fillId="0" borderId="57" xfId="61" applyFont="1" applyBorder="1" applyAlignment="1">
      <alignment horizontal="left" vertical="center"/>
      <protection/>
    </xf>
    <xf numFmtId="0" fontId="2" fillId="0" borderId="0" xfId="61" applyFont="1" applyAlignment="1">
      <alignment horizontal="left" vertical="center"/>
      <protection/>
    </xf>
    <xf numFmtId="0" fontId="2" fillId="0" borderId="138" xfId="61" applyFont="1" applyBorder="1" applyAlignment="1">
      <alignment horizontal="distributed" vertical="center"/>
      <protection/>
    </xf>
    <xf numFmtId="0" fontId="2" fillId="0" borderId="140" xfId="61" applyFont="1" applyBorder="1" applyAlignment="1">
      <alignment horizontal="distributed" vertical="center"/>
      <protection/>
    </xf>
    <xf numFmtId="0" fontId="2" fillId="0" borderId="160" xfId="61" applyFont="1" applyBorder="1" applyAlignment="1">
      <alignment horizontal="distributed" vertical="center"/>
      <protection/>
    </xf>
    <xf numFmtId="0" fontId="2" fillId="0" borderId="161" xfId="61" applyFont="1" applyBorder="1" applyAlignment="1">
      <alignment horizontal="center" vertical="center"/>
      <protection/>
    </xf>
    <xf numFmtId="0" fontId="2" fillId="0" borderId="152" xfId="61" applyFont="1" applyBorder="1" applyAlignment="1">
      <alignment horizontal="center" vertical="center" wrapText="1"/>
      <protection/>
    </xf>
    <xf numFmtId="0" fontId="2" fillId="0" borderId="162" xfId="61" applyFont="1" applyBorder="1" applyAlignment="1">
      <alignment horizontal="left" vertical="center"/>
      <protection/>
    </xf>
    <xf numFmtId="0" fontId="2" fillId="0" borderId="163" xfId="61" applyFont="1" applyBorder="1" applyAlignment="1">
      <alignment horizontal="center" vertical="center"/>
      <protection/>
    </xf>
    <xf numFmtId="0" fontId="2" fillId="0" borderId="164" xfId="61" applyFont="1" applyBorder="1" applyAlignment="1">
      <alignment horizontal="center" vertical="center"/>
      <protection/>
    </xf>
    <xf numFmtId="0" fontId="2" fillId="0" borderId="161" xfId="61" applyFont="1" applyBorder="1" applyAlignment="1">
      <alignment horizontal="center" vertical="center" wrapText="1"/>
      <protection/>
    </xf>
    <xf numFmtId="0" fontId="2" fillId="0" borderId="165" xfId="61" applyFont="1" applyBorder="1" applyAlignment="1">
      <alignment horizontal="distributed" vertical="center" wrapText="1"/>
      <protection/>
    </xf>
    <xf numFmtId="0" fontId="2" fillId="0" borderId="166" xfId="61" applyFont="1" applyBorder="1" applyAlignment="1">
      <alignment horizontal="distributed" vertical="center"/>
      <protection/>
    </xf>
    <xf numFmtId="0" fontId="2" fillId="0" borderId="167" xfId="61" applyFont="1" applyBorder="1" applyAlignment="1">
      <alignment horizontal="distributed" vertical="center" wrapText="1"/>
      <protection/>
    </xf>
    <xf numFmtId="0" fontId="2" fillId="0" borderId="168" xfId="61" applyFont="1" applyBorder="1" applyAlignment="1">
      <alignment horizontal="distributed" vertical="center"/>
      <protection/>
    </xf>
    <xf numFmtId="0" fontId="2" fillId="0" borderId="169" xfId="61" applyFont="1" applyBorder="1" applyAlignment="1">
      <alignment horizontal="distributed" vertical="center" wrapText="1"/>
      <protection/>
    </xf>
    <xf numFmtId="0" fontId="2" fillId="0" borderId="170" xfId="61" applyFont="1" applyBorder="1" applyAlignment="1">
      <alignment horizontal="distributed" vertical="center" wrapText="1"/>
      <protection/>
    </xf>
    <xf numFmtId="0" fontId="2" fillId="0" borderId="61"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8"/>
  <sheetViews>
    <sheetView showGridLines="0" zoomScalePageLayoutView="0" workbookViewId="0" topLeftCell="A7">
      <selection activeCell="G20" sqref="G20"/>
    </sheetView>
  </sheetViews>
  <sheetFormatPr defaultColWidth="5.875" defaultRowHeight="13.5"/>
  <cols>
    <col min="1" max="1" width="10.50390625" style="1" bestFit="1" customWidth="1"/>
    <col min="2" max="2" width="19.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201" t="s">
        <v>0</v>
      </c>
      <c r="B1" s="201"/>
      <c r="C1" s="201"/>
      <c r="D1" s="201"/>
      <c r="E1" s="201"/>
      <c r="F1" s="201"/>
      <c r="G1" s="201"/>
      <c r="H1" s="201"/>
      <c r="I1" s="201"/>
      <c r="J1" s="201"/>
      <c r="K1" s="201"/>
    </row>
    <row r="2" spans="1:11" ht="15">
      <c r="A2" s="80"/>
      <c r="B2" s="80"/>
      <c r="C2" s="80"/>
      <c r="D2" s="80"/>
      <c r="E2" s="80"/>
      <c r="F2" s="80"/>
      <c r="G2" s="80"/>
      <c r="H2" s="80"/>
      <c r="I2" s="80"/>
      <c r="J2" s="80"/>
      <c r="K2" s="80"/>
    </row>
    <row r="3" spans="1:11" ht="12" thickBot="1">
      <c r="A3" s="202" t="s">
        <v>29</v>
      </c>
      <c r="B3" s="202"/>
      <c r="C3" s="202"/>
      <c r="D3" s="202"/>
      <c r="E3" s="202"/>
      <c r="F3" s="202"/>
      <c r="G3" s="202"/>
      <c r="H3" s="202"/>
      <c r="I3" s="202"/>
      <c r="J3" s="202"/>
      <c r="K3" s="202"/>
    </row>
    <row r="4" spans="1:11" ht="24" customHeight="1">
      <c r="A4" s="203" t="s">
        <v>1</v>
      </c>
      <c r="B4" s="204"/>
      <c r="C4" s="207" t="s">
        <v>15</v>
      </c>
      <c r="D4" s="208"/>
      <c r="E4" s="209"/>
      <c r="F4" s="207" t="s">
        <v>16</v>
      </c>
      <c r="G4" s="208"/>
      <c r="H4" s="209"/>
      <c r="I4" s="207" t="s">
        <v>17</v>
      </c>
      <c r="J4" s="208"/>
      <c r="K4" s="210"/>
    </row>
    <row r="5" spans="1:11" ht="24" customHeight="1">
      <c r="A5" s="205"/>
      <c r="B5" s="206"/>
      <c r="C5" s="211" t="s">
        <v>2</v>
      </c>
      <c r="D5" s="212"/>
      <c r="E5" s="6" t="s">
        <v>3</v>
      </c>
      <c r="F5" s="211" t="s">
        <v>2</v>
      </c>
      <c r="G5" s="212"/>
      <c r="H5" s="6" t="s">
        <v>3</v>
      </c>
      <c r="I5" s="211" t="s">
        <v>2</v>
      </c>
      <c r="J5" s="212"/>
      <c r="K5" s="18" t="s">
        <v>3</v>
      </c>
    </row>
    <row r="6" spans="1:11" ht="12" customHeight="1">
      <c r="A6" s="65"/>
      <c r="B6" s="68"/>
      <c r="C6" s="66"/>
      <c r="D6" s="55" t="s">
        <v>31</v>
      </c>
      <c r="E6" s="54" t="s">
        <v>30</v>
      </c>
      <c r="F6" s="66"/>
      <c r="G6" s="55" t="s">
        <v>31</v>
      </c>
      <c r="H6" s="54" t="s">
        <v>30</v>
      </c>
      <c r="I6" s="66"/>
      <c r="J6" s="55" t="s">
        <v>31</v>
      </c>
      <c r="K6" s="67" t="s">
        <v>30</v>
      </c>
    </row>
    <row r="7" spans="1:11" ht="30" customHeight="1">
      <c r="A7" s="190" t="s">
        <v>32</v>
      </c>
      <c r="B7" s="61" t="s">
        <v>18</v>
      </c>
      <c r="C7" s="19"/>
      <c r="D7" s="62">
        <v>27143</v>
      </c>
      <c r="E7" s="63">
        <v>10747742</v>
      </c>
      <c r="F7" s="22"/>
      <c r="G7" s="62">
        <v>61586</v>
      </c>
      <c r="H7" s="63">
        <v>306133861</v>
      </c>
      <c r="I7" s="22"/>
      <c r="J7" s="62">
        <v>88729</v>
      </c>
      <c r="K7" s="64">
        <v>316881602</v>
      </c>
    </row>
    <row r="8" spans="1:11" ht="30" customHeight="1">
      <c r="A8" s="191"/>
      <c r="B8" s="36" t="s">
        <v>19</v>
      </c>
      <c r="C8" s="19"/>
      <c r="D8" s="25">
        <v>46253</v>
      </c>
      <c r="E8" s="26">
        <v>11479069</v>
      </c>
      <c r="F8" s="22"/>
      <c r="G8" s="25">
        <v>24338</v>
      </c>
      <c r="H8" s="26">
        <v>9323770</v>
      </c>
      <c r="I8" s="22"/>
      <c r="J8" s="25">
        <v>70591</v>
      </c>
      <c r="K8" s="32">
        <v>20802839</v>
      </c>
    </row>
    <row r="9" spans="1:11" s="3" customFormat="1" ht="30" customHeight="1">
      <c r="A9" s="191"/>
      <c r="B9" s="37" t="s">
        <v>20</v>
      </c>
      <c r="C9" s="20"/>
      <c r="D9" s="27">
        <v>73396</v>
      </c>
      <c r="E9" s="28">
        <v>22226810</v>
      </c>
      <c r="F9" s="20"/>
      <c r="G9" s="27">
        <v>85924</v>
      </c>
      <c r="H9" s="28">
        <v>315457631</v>
      </c>
      <c r="I9" s="20"/>
      <c r="J9" s="27">
        <v>159320</v>
      </c>
      <c r="K9" s="33">
        <v>337684441</v>
      </c>
    </row>
    <row r="10" spans="1:11" ht="30" customHeight="1">
      <c r="A10" s="192"/>
      <c r="B10" s="38" t="s">
        <v>21</v>
      </c>
      <c r="C10" s="19"/>
      <c r="D10" s="29">
        <v>1736</v>
      </c>
      <c r="E10" s="30">
        <v>727827</v>
      </c>
      <c r="F10" s="19"/>
      <c r="G10" s="29">
        <v>3875</v>
      </c>
      <c r="H10" s="30">
        <v>29453962</v>
      </c>
      <c r="I10" s="19"/>
      <c r="J10" s="29">
        <v>5611</v>
      </c>
      <c r="K10" s="34">
        <v>30181788</v>
      </c>
    </row>
    <row r="11" spans="1:11" ht="30" customHeight="1">
      <c r="A11" s="193" t="s">
        <v>33</v>
      </c>
      <c r="B11" s="81" t="s">
        <v>22</v>
      </c>
      <c r="C11" s="9"/>
      <c r="D11" s="78">
        <v>3797</v>
      </c>
      <c r="E11" s="24">
        <v>585750</v>
      </c>
      <c r="F11" s="56"/>
      <c r="G11" s="58">
        <v>3438</v>
      </c>
      <c r="H11" s="24">
        <v>1183829</v>
      </c>
      <c r="I11" s="56"/>
      <c r="J11" s="58">
        <v>7235</v>
      </c>
      <c r="K11" s="31">
        <v>1769579</v>
      </c>
    </row>
    <row r="12" spans="1:11" ht="30" customHeight="1">
      <c r="A12" s="194"/>
      <c r="B12" s="82" t="s">
        <v>23</v>
      </c>
      <c r="C12" s="57"/>
      <c r="D12" s="25">
        <v>350</v>
      </c>
      <c r="E12" s="26">
        <v>48588</v>
      </c>
      <c r="F12" s="60"/>
      <c r="G12" s="59">
        <v>674</v>
      </c>
      <c r="H12" s="26">
        <v>1479727</v>
      </c>
      <c r="I12" s="60"/>
      <c r="J12" s="59">
        <v>1024</v>
      </c>
      <c r="K12" s="32">
        <v>1528315</v>
      </c>
    </row>
    <row r="13" spans="1:11" s="3" customFormat="1" ht="30" customHeight="1">
      <c r="A13" s="195" t="s">
        <v>6</v>
      </c>
      <c r="B13" s="196"/>
      <c r="C13" s="45" t="s">
        <v>14</v>
      </c>
      <c r="D13" s="42">
        <v>76494</v>
      </c>
      <c r="E13" s="43">
        <v>22036146</v>
      </c>
      <c r="F13" s="45" t="s">
        <v>14</v>
      </c>
      <c r="G13" s="42">
        <v>90505</v>
      </c>
      <c r="H13" s="43">
        <v>285707771</v>
      </c>
      <c r="I13" s="45" t="s">
        <v>14</v>
      </c>
      <c r="J13" s="42">
        <v>166999</v>
      </c>
      <c r="K13" s="44">
        <v>307743917</v>
      </c>
    </row>
    <row r="14" spans="1:11" ht="30" customHeight="1" thickBot="1">
      <c r="A14" s="197" t="s">
        <v>7</v>
      </c>
      <c r="B14" s="198"/>
      <c r="C14" s="21"/>
      <c r="D14" s="39">
        <v>3874</v>
      </c>
      <c r="E14" s="40">
        <v>111014</v>
      </c>
      <c r="F14" s="23"/>
      <c r="G14" s="39">
        <v>2721</v>
      </c>
      <c r="H14" s="40">
        <v>172462</v>
      </c>
      <c r="I14" s="23"/>
      <c r="J14" s="39">
        <v>6595</v>
      </c>
      <c r="K14" s="41">
        <v>283476</v>
      </c>
    </row>
    <row r="15" spans="1:11" s="4" customFormat="1" ht="37.5" customHeight="1">
      <c r="A15" s="79" t="s">
        <v>35</v>
      </c>
      <c r="B15" s="199" t="s">
        <v>109</v>
      </c>
      <c r="C15" s="199"/>
      <c r="D15" s="199"/>
      <c r="E15" s="199"/>
      <c r="F15" s="199"/>
      <c r="G15" s="199"/>
      <c r="H15" s="199"/>
      <c r="I15" s="199"/>
      <c r="J15" s="199"/>
      <c r="K15" s="199"/>
    </row>
    <row r="16" spans="2:11" ht="45" customHeight="1">
      <c r="B16" s="200" t="s">
        <v>110</v>
      </c>
      <c r="C16" s="200"/>
      <c r="D16" s="200"/>
      <c r="E16" s="200"/>
      <c r="F16" s="200"/>
      <c r="G16" s="200"/>
      <c r="H16" s="200"/>
      <c r="I16" s="200"/>
      <c r="J16" s="200"/>
      <c r="K16" s="200"/>
    </row>
    <row r="17" spans="1:2" ht="14.25" customHeight="1">
      <c r="A17" s="1" t="s">
        <v>115</v>
      </c>
      <c r="B17" s="1" t="s">
        <v>37</v>
      </c>
    </row>
    <row r="18" spans="1:2" ht="11.25">
      <c r="A18" s="85" t="s">
        <v>116</v>
      </c>
      <c r="B18" s="1" t="s">
        <v>38</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5905511811023623" right="0.3937007874015748" top="0.5905511811023623" bottom="0.5905511811023623" header="0.5118110236220472" footer="0.5118110236220472"/>
  <pageSetup horizontalDpi="600" verticalDpi="600" orientation="portrait" paperSize="9" r:id="rId1"/>
  <headerFooter alignWithMargins="0">
    <oddFooter>&amp;R福岡国税局
消費税
(H24)</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A1" sqref="A1"/>
    </sheetView>
  </sheetViews>
  <sheetFormatPr defaultColWidth="9.00390625" defaultRowHeight="13.5"/>
  <cols>
    <col min="1" max="1" width="10.625" style="84" customWidth="1"/>
    <col min="2" max="2" width="15.625" style="84" customWidth="1"/>
    <col min="3" max="3" width="8.625" style="84" customWidth="1"/>
    <col min="4" max="4" width="10.625" style="84" customWidth="1"/>
    <col min="5" max="5" width="8.625" style="84" customWidth="1"/>
    <col min="6" max="6" width="12.875" style="84" bestFit="1" customWidth="1"/>
    <col min="7" max="7" width="8.625" style="84" customWidth="1"/>
    <col min="8" max="8" width="12.875" style="84" bestFit="1" customWidth="1"/>
    <col min="9" max="16384" width="9.00390625" style="84" customWidth="1"/>
  </cols>
  <sheetData>
    <row r="1" s="1" customFormat="1" ht="12" thickBot="1">
      <c r="A1" s="1" t="s">
        <v>34</v>
      </c>
    </row>
    <row r="2" spans="1:8" s="1" customFormat="1" ht="15" customHeight="1">
      <c r="A2" s="203" t="s">
        <v>1</v>
      </c>
      <c r="B2" s="204"/>
      <c r="C2" s="213" t="s">
        <v>15</v>
      </c>
      <c r="D2" s="213"/>
      <c r="E2" s="213" t="s">
        <v>24</v>
      </c>
      <c r="F2" s="213"/>
      <c r="G2" s="214" t="s">
        <v>25</v>
      </c>
      <c r="H2" s="215"/>
    </row>
    <row r="3" spans="1:8" s="1" customFormat="1" ht="15" customHeight="1">
      <c r="A3" s="205"/>
      <c r="B3" s="206"/>
      <c r="C3" s="9" t="s">
        <v>26</v>
      </c>
      <c r="D3" s="6" t="s">
        <v>27</v>
      </c>
      <c r="E3" s="9" t="s">
        <v>26</v>
      </c>
      <c r="F3" s="7" t="s">
        <v>27</v>
      </c>
      <c r="G3" s="9" t="s">
        <v>26</v>
      </c>
      <c r="H3" s="8" t="s">
        <v>27</v>
      </c>
    </row>
    <row r="4" spans="1:8" s="10" customFormat="1" ht="15" customHeight="1">
      <c r="A4" s="70"/>
      <c r="B4" s="6"/>
      <c r="C4" s="71" t="s">
        <v>4</v>
      </c>
      <c r="D4" s="72" t="s">
        <v>5</v>
      </c>
      <c r="E4" s="71" t="s">
        <v>4</v>
      </c>
      <c r="F4" s="72" t="s">
        <v>5</v>
      </c>
      <c r="G4" s="71" t="s">
        <v>4</v>
      </c>
      <c r="H4" s="73" t="s">
        <v>5</v>
      </c>
    </row>
    <row r="5" spans="1:8" s="83" customFormat="1" ht="30" customHeight="1">
      <c r="A5" s="218" t="s">
        <v>111</v>
      </c>
      <c r="B5" s="61" t="s">
        <v>12</v>
      </c>
      <c r="C5" s="69">
        <v>87757</v>
      </c>
      <c r="D5" s="63">
        <v>25705468</v>
      </c>
      <c r="E5" s="69">
        <v>88862</v>
      </c>
      <c r="F5" s="63">
        <v>329250402</v>
      </c>
      <c r="G5" s="69">
        <v>176619</v>
      </c>
      <c r="H5" s="64">
        <v>354955870</v>
      </c>
    </row>
    <row r="6" spans="1:8" s="83" customFormat="1" ht="30" customHeight="1">
      <c r="A6" s="219"/>
      <c r="B6" s="38" t="s">
        <v>13</v>
      </c>
      <c r="C6" s="47">
        <v>2437</v>
      </c>
      <c r="D6" s="48">
        <v>1841080</v>
      </c>
      <c r="E6" s="47">
        <v>4321</v>
      </c>
      <c r="F6" s="48">
        <v>49512121</v>
      </c>
      <c r="G6" s="47">
        <v>6758</v>
      </c>
      <c r="H6" s="49">
        <v>51353200</v>
      </c>
    </row>
    <row r="7" spans="1:8" s="83" customFormat="1" ht="30" customHeight="1">
      <c r="A7" s="220" t="s">
        <v>112</v>
      </c>
      <c r="B7" s="35" t="s">
        <v>12</v>
      </c>
      <c r="C7" s="46">
        <v>86406</v>
      </c>
      <c r="D7" s="24">
        <v>24022968</v>
      </c>
      <c r="E7" s="46">
        <v>88447</v>
      </c>
      <c r="F7" s="24">
        <v>334947544</v>
      </c>
      <c r="G7" s="46">
        <v>174853</v>
      </c>
      <c r="H7" s="31">
        <v>358970512</v>
      </c>
    </row>
    <row r="8" spans="1:8" s="83" customFormat="1" ht="30" customHeight="1">
      <c r="A8" s="221"/>
      <c r="B8" s="38" t="s">
        <v>13</v>
      </c>
      <c r="C8" s="47">
        <v>2425</v>
      </c>
      <c r="D8" s="48">
        <v>1630457</v>
      </c>
      <c r="E8" s="47">
        <v>4244</v>
      </c>
      <c r="F8" s="48">
        <v>29115453</v>
      </c>
      <c r="G8" s="47">
        <v>6669</v>
      </c>
      <c r="H8" s="49">
        <v>30745910</v>
      </c>
    </row>
    <row r="9" spans="1:8" s="83" customFormat="1" ht="30" customHeight="1">
      <c r="A9" s="216" t="s">
        <v>36</v>
      </c>
      <c r="B9" s="35" t="s">
        <v>12</v>
      </c>
      <c r="C9" s="46">
        <v>83005</v>
      </c>
      <c r="D9" s="24">
        <v>23464116</v>
      </c>
      <c r="E9" s="46">
        <v>87588</v>
      </c>
      <c r="F9" s="24">
        <v>331139841</v>
      </c>
      <c r="G9" s="46">
        <v>170593</v>
      </c>
      <c r="H9" s="31">
        <v>354603957</v>
      </c>
    </row>
    <row r="10" spans="1:8" s="83" customFormat="1" ht="30" customHeight="1">
      <c r="A10" s="219"/>
      <c r="B10" s="38" t="s">
        <v>13</v>
      </c>
      <c r="C10" s="47">
        <v>2129</v>
      </c>
      <c r="D10" s="48">
        <v>1100308</v>
      </c>
      <c r="E10" s="47">
        <v>4007</v>
      </c>
      <c r="F10" s="48">
        <v>31646401</v>
      </c>
      <c r="G10" s="47">
        <v>6136</v>
      </c>
      <c r="H10" s="49">
        <v>32746709</v>
      </c>
    </row>
    <row r="11" spans="1:8" s="83" customFormat="1" ht="30" customHeight="1">
      <c r="A11" s="216" t="s">
        <v>39</v>
      </c>
      <c r="B11" s="35" t="s">
        <v>12</v>
      </c>
      <c r="C11" s="46">
        <v>76279</v>
      </c>
      <c r="D11" s="24">
        <v>22429635</v>
      </c>
      <c r="E11" s="46">
        <v>86515</v>
      </c>
      <c r="F11" s="24">
        <v>316336313</v>
      </c>
      <c r="G11" s="46">
        <v>162794</v>
      </c>
      <c r="H11" s="31">
        <v>338765948</v>
      </c>
    </row>
    <row r="12" spans="1:8" s="83" customFormat="1" ht="30" customHeight="1">
      <c r="A12" s="219"/>
      <c r="B12" s="38" t="s">
        <v>13</v>
      </c>
      <c r="C12" s="47">
        <v>1921</v>
      </c>
      <c r="D12" s="48">
        <v>885813</v>
      </c>
      <c r="E12" s="47">
        <v>3859</v>
      </c>
      <c r="F12" s="48">
        <v>36534432</v>
      </c>
      <c r="G12" s="47">
        <v>5780</v>
      </c>
      <c r="H12" s="49">
        <v>37420245</v>
      </c>
    </row>
    <row r="13" spans="1:8" s="1" customFormat="1" ht="30" customHeight="1">
      <c r="A13" s="216" t="s">
        <v>113</v>
      </c>
      <c r="B13" s="35" t="s">
        <v>12</v>
      </c>
      <c r="C13" s="46">
        <v>73396</v>
      </c>
      <c r="D13" s="24">
        <v>22226810</v>
      </c>
      <c r="E13" s="46">
        <v>85924</v>
      </c>
      <c r="F13" s="24">
        <v>315457631</v>
      </c>
      <c r="G13" s="46">
        <v>159320</v>
      </c>
      <c r="H13" s="31">
        <v>337684441</v>
      </c>
    </row>
    <row r="14" spans="1:8" s="1" customFormat="1" ht="30" customHeight="1" thickBot="1">
      <c r="A14" s="217"/>
      <c r="B14" s="50" t="s">
        <v>13</v>
      </c>
      <c r="C14" s="51">
        <v>1736</v>
      </c>
      <c r="D14" s="52">
        <v>727827</v>
      </c>
      <c r="E14" s="51">
        <v>3875</v>
      </c>
      <c r="F14" s="52">
        <v>29453962</v>
      </c>
      <c r="G14" s="51">
        <v>5611</v>
      </c>
      <c r="H14" s="53">
        <v>30181788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5905511811023623" right="0.3937007874015748" top="0.5905511811023623" bottom="0.5905511811023623" header="0.5118110236220472" footer="0.5118110236220472"/>
  <pageSetup horizontalDpi="600" verticalDpi="600" orientation="portrait" paperSize="9" r:id="rId1"/>
  <headerFooter alignWithMargins="0">
    <oddFooter>&amp;R福岡国税局
消費税
(H24)</oddFooter>
  </headerFooter>
</worksheet>
</file>

<file path=xl/worksheets/sheet3.xml><?xml version="1.0" encoding="utf-8"?>
<worksheet xmlns="http://schemas.openxmlformats.org/spreadsheetml/2006/main" xmlns:r="http://schemas.openxmlformats.org/officeDocument/2006/relationships">
  <dimension ref="A1:I6"/>
  <sheetViews>
    <sheetView showGridLines="0" zoomScalePageLayoutView="0" workbookViewId="0" topLeftCell="A1">
      <selection activeCell="A1" sqref="A1"/>
    </sheetView>
  </sheetViews>
  <sheetFormatPr defaultColWidth="9.00390625" defaultRowHeight="13.5"/>
  <cols>
    <col min="1" max="2" width="18.625" style="84" customWidth="1"/>
    <col min="3" max="3" width="23.625" style="84" customWidth="1"/>
    <col min="4" max="4" width="18.625" style="84" customWidth="1"/>
    <col min="5" max="16384" width="9.00390625" style="84" customWidth="1"/>
  </cols>
  <sheetData>
    <row r="1" s="1" customFormat="1" ht="20.25" customHeight="1" thickBot="1">
      <c r="A1" s="1" t="s">
        <v>28</v>
      </c>
    </row>
    <row r="2" spans="1:4" s="4" customFormat="1" ht="19.5" customHeight="1">
      <c r="A2" s="14" t="s">
        <v>8</v>
      </c>
      <c r="B2" s="15" t="s">
        <v>9</v>
      </c>
      <c r="C2" s="16" t="s">
        <v>10</v>
      </c>
      <c r="D2" s="86" t="s">
        <v>40</v>
      </c>
    </row>
    <row r="3" spans="1:4" s="10" customFormat="1" ht="15" customHeight="1">
      <c r="A3" s="74" t="s">
        <v>4</v>
      </c>
      <c r="B3" s="75" t="s">
        <v>4</v>
      </c>
      <c r="C3" s="76" t="s">
        <v>4</v>
      </c>
      <c r="D3" s="77" t="s">
        <v>4</v>
      </c>
    </row>
    <row r="4" spans="1:9" s="4" customFormat="1" ht="30" customHeight="1" thickBot="1">
      <c r="A4" s="11">
        <v>164321</v>
      </c>
      <c r="B4" s="12">
        <v>3180</v>
      </c>
      <c r="C4" s="17">
        <v>546</v>
      </c>
      <c r="D4" s="13">
        <v>168047</v>
      </c>
      <c r="E4" s="5"/>
      <c r="G4" s="5"/>
      <c r="I4" s="5"/>
    </row>
    <row r="5" spans="1:4" s="4" customFormat="1" ht="15" customHeight="1">
      <c r="A5" s="222" t="s">
        <v>114</v>
      </c>
      <c r="B5" s="222"/>
      <c r="C5" s="222"/>
      <c r="D5" s="222"/>
    </row>
    <row r="6" spans="1:4" s="4" customFormat="1" ht="15" customHeight="1">
      <c r="A6" s="223" t="s">
        <v>11</v>
      </c>
      <c r="B6" s="223"/>
      <c r="C6" s="223"/>
      <c r="D6" s="223"/>
    </row>
  </sheetData>
  <sheetProtection/>
  <mergeCells count="2">
    <mergeCell ref="A5:D5"/>
    <mergeCell ref="A6:D6"/>
  </mergeCells>
  <printOptions horizontalCentered="1"/>
  <pageMargins left="0.5905511811023623" right="0.3937007874015748" top="0.5905511811023623" bottom="0.5905511811023623" header="0.5118110236220472" footer="0.5118110236220472"/>
  <pageSetup horizontalDpi="600" verticalDpi="600" orientation="portrait" paperSize="9" scale="105" r:id="rId1"/>
  <headerFooter alignWithMargins="0">
    <oddFooter>&amp;R福岡国税局
消費税
(H24)</oddFooter>
  </headerFooter>
</worksheet>
</file>

<file path=xl/worksheets/sheet4.xml><?xml version="1.0" encoding="utf-8"?>
<worksheet xmlns="http://schemas.openxmlformats.org/spreadsheetml/2006/main" xmlns:r="http://schemas.openxmlformats.org/officeDocument/2006/relationships">
  <dimension ref="A1:N45"/>
  <sheetViews>
    <sheetView zoomScalePageLayoutView="0" workbookViewId="0" topLeftCell="A1">
      <selection activeCell="A1" sqref="A1"/>
    </sheetView>
  </sheetViews>
  <sheetFormatPr defaultColWidth="9.00390625" defaultRowHeight="13.5"/>
  <cols>
    <col min="1" max="1" width="11.375" style="0" customWidth="1"/>
    <col min="2" max="2" width="10.625" style="0" customWidth="1"/>
    <col min="3" max="3" width="12.625" style="0" customWidth="1"/>
    <col min="4" max="4" width="10.625" style="0" customWidth="1"/>
    <col min="5" max="5" width="12.625" style="0" customWidth="1"/>
    <col min="6" max="6" width="10.625" style="0" customWidth="1"/>
    <col min="7" max="7" width="12.625" style="0" customWidth="1"/>
    <col min="8" max="8" width="10.625" style="0" customWidth="1"/>
    <col min="9" max="9" width="12.625" style="0" customWidth="1"/>
    <col min="10" max="10" width="10.625" style="0" customWidth="1"/>
    <col min="11" max="11" width="12.625" style="0" customWidth="1"/>
    <col min="12" max="12" width="10.625" style="0" customWidth="1"/>
    <col min="13" max="13" width="12.625" style="0" customWidth="1"/>
    <col min="14" max="14" width="11.375" style="0" customWidth="1"/>
  </cols>
  <sheetData>
    <row r="1" spans="1:14" ht="13.5">
      <c r="A1" s="87" t="s">
        <v>41</v>
      </c>
      <c r="B1" s="87"/>
      <c r="C1" s="87"/>
      <c r="D1" s="87"/>
      <c r="E1" s="87"/>
      <c r="F1" s="87"/>
      <c r="G1" s="87"/>
      <c r="H1" s="88"/>
      <c r="I1" s="88"/>
      <c r="J1" s="88"/>
      <c r="K1" s="88"/>
      <c r="L1" s="88"/>
      <c r="M1" s="88"/>
      <c r="N1" s="88"/>
    </row>
    <row r="2" spans="1:14" ht="14.25" thickBot="1">
      <c r="A2" s="234" t="s">
        <v>42</v>
      </c>
      <c r="B2" s="234"/>
      <c r="C2" s="234"/>
      <c r="D2" s="234"/>
      <c r="E2" s="234"/>
      <c r="F2" s="234"/>
      <c r="G2" s="234"/>
      <c r="H2" s="88"/>
      <c r="I2" s="88"/>
      <c r="J2" s="88"/>
      <c r="K2" s="88"/>
      <c r="L2" s="88"/>
      <c r="M2" s="88"/>
      <c r="N2" s="88"/>
    </row>
    <row r="3" spans="1:14" ht="19.5" customHeight="1">
      <c r="A3" s="235" t="s">
        <v>43</v>
      </c>
      <c r="B3" s="238" t="s">
        <v>44</v>
      </c>
      <c r="C3" s="238"/>
      <c r="D3" s="238"/>
      <c r="E3" s="238"/>
      <c r="F3" s="238"/>
      <c r="G3" s="238"/>
      <c r="H3" s="224" t="s">
        <v>13</v>
      </c>
      <c r="I3" s="225"/>
      <c r="J3" s="239" t="s">
        <v>45</v>
      </c>
      <c r="K3" s="225"/>
      <c r="L3" s="224" t="s">
        <v>46</v>
      </c>
      <c r="M3" s="225"/>
      <c r="N3" s="228" t="s">
        <v>47</v>
      </c>
    </row>
    <row r="4" spans="1:14" ht="17.25" customHeight="1">
      <c r="A4" s="236"/>
      <c r="B4" s="231" t="s">
        <v>18</v>
      </c>
      <c r="C4" s="231"/>
      <c r="D4" s="226" t="s">
        <v>48</v>
      </c>
      <c r="E4" s="232"/>
      <c r="F4" s="226" t="s">
        <v>49</v>
      </c>
      <c r="G4" s="232"/>
      <c r="H4" s="226"/>
      <c r="I4" s="227"/>
      <c r="J4" s="226"/>
      <c r="K4" s="227"/>
      <c r="L4" s="226"/>
      <c r="M4" s="227"/>
      <c r="N4" s="229"/>
    </row>
    <row r="5" spans="1:14" ht="28.5" customHeight="1">
      <c r="A5" s="237"/>
      <c r="B5" s="89" t="s">
        <v>50</v>
      </c>
      <c r="C5" s="90" t="s">
        <v>51</v>
      </c>
      <c r="D5" s="89" t="s">
        <v>50</v>
      </c>
      <c r="E5" s="90" t="s">
        <v>51</v>
      </c>
      <c r="F5" s="89" t="s">
        <v>50</v>
      </c>
      <c r="G5" s="91" t="s">
        <v>52</v>
      </c>
      <c r="H5" s="89" t="s">
        <v>50</v>
      </c>
      <c r="I5" s="92" t="s">
        <v>53</v>
      </c>
      <c r="J5" s="89" t="s">
        <v>50</v>
      </c>
      <c r="K5" s="92" t="s">
        <v>54</v>
      </c>
      <c r="L5" s="89" t="s">
        <v>50</v>
      </c>
      <c r="M5" s="93" t="s">
        <v>55</v>
      </c>
      <c r="N5" s="230"/>
    </row>
    <row r="6" spans="1:14" ht="10.5" customHeight="1">
      <c r="A6" s="94"/>
      <c r="B6" s="95" t="s">
        <v>4</v>
      </c>
      <c r="C6" s="96" t="s">
        <v>5</v>
      </c>
      <c r="D6" s="95" t="s">
        <v>4</v>
      </c>
      <c r="E6" s="96" t="s">
        <v>5</v>
      </c>
      <c r="F6" s="95" t="s">
        <v>4</v>
      </c>
      <c r="G6" s="96" t="s">
        <v>5</v>
      </c>
      <c r="H6" s="95" t="s">
        <v>4</v>
      </c>
      <c r="I6" s="97" t="s">
        <v>5</v>
      </c>
      <c r="J6" s="95" t="s">
        <v>4</v>
      </c>
      <c r="K6" s="97" t="s">
        <v>5</v>
      </c>
      <c r="L6" s="95" t="s">
        <v>4</v>
      </c>
      <c r="M6" s="97" t="s">
        <v>5</v>
      </c>
      <c r="N6" s="98"/>
    </row>
    <row r="7" spans="1:14" ht="15.75" customHeight="1">
      <c r="A7" s="99" t="s">
        <v>56</v>
      </c>
      <c r="B7" s="100">
        <f>_xlfn.COMPOUNDVALUE(1)</f>
        <v>259</v>
      </c>
      <c r="C7" s="101">
        <v>77699</v>
      </c>
      <c r="D7" s="100">
        <f>_xlfn.COMPOUNDVALUE(2)</f>
        <v>399</v>
      </c>
      <c r="E7" s="101">
        <v>92835</v>
      </c>
      <c r="F7" s="100">
        <f>_xlfn.COMPOUNDVALUE(3)</f>
        <v>658</v>
      </c>
      <c r="G7" s="101">
        <v>170535</v>
      </c>
      <c r="H7" s="100">
        <f>_xlfn.COMPOUNDVALUE(4)</f>
        <v>19</v>
      </c>
      <c r="I7" s="102">
        <v>5334</v>
      </c>
      <c r="J7" s="100">
        <v>72</v>
      </c>
      <c r="K7" s="102">
        <v>14769</v>
      </c>
      <c r="L7" s="100">
        <v>722</v>
      </c>
      <c r="M7" s="102">
        <v>179970</v>
      </c>
      <c r="N7" s="103" t="s">
        <v>56</v>
      </c>
    </row>
    <row r="8" spans="1:14" ht="15.75" customHeight="1">
      <c r="A8" s="99" t="s">
        <v>57</v>
      </c>
      <c r="B8" s="100">
        <f>_xlfn.COMPOUNDVALUE(5)</f>
        <v>697</v>
      </c>
      <c r="C8" s="101">
        <v>213483</v>
      </c>
      <c r="D8" s="100">
        <f>_xlfn.COMPOUNDVALUE(6)</f>
        <v>943</v>
      </c>
      <c r="E8" s="101">
        <v>237255</v>
      </c>
      <c r="F8" s="100">
        <f>_xlfn.COMPOUNDVALUE(7)</f>
        <v>1640</v>
      </c>
      <c r="G8" s="101">
        <v>450738</v>
      </c>
      <c r="H8" s="100">
        <f>_xlfn.COMPOUNDVALUE(8)</f>
        <v>24</v>
      </c>
      <c r="I8" s="102">
        <v>6202</v>
      </c>
      <c r="J8" s="100">
        <v>120</v>
      </c>
      <c r="K8" s="102">
        <v>34824</v>
      </c>
      <c r="L8" s="100">
        <v>1748</v>
      </c>
      <c r="M8" s="102">
        <v>479360</v>
      </c>
      <c r="N8" s="103" t="s">
        <v>57</v>
      </c>
    </row>
    <row r="9" spans="1:14" ht="15.75" customHeight="1">
      <c r="A9" s="99" t="s">
        <v>58</v>
      </c>
      <c r="B9" s="100">
        <f>_xlfn.COMPOUNDVALUE(9)</f>
        <v>1379</v>
      </c>
      <c r="C9" s="101">
        <v>484087</v>
      </c>
      <c r="D9" s="100">
        <f>_xlfn.COMPOUNDVALUE(10)</f>
        <v>1825</v>
      </c>
      <c r="E9" s="101">
        <v>495022</v>
      </c>
      <c r="F9" s="100">
        <f>_xlfn.COMPOUNDVALUE(11)</f>
        <v>3204</v>
      </c>
      <c r="G9" s="101">
        <v>979109</v>
      </c>
      <c r="H9" s="100">
        <f>_xlfn.COMPOUNDVALUE(12)</f>
        <v>84</v>
      </c>
      <c r="I9" s="102">
        <v>41967</v>
      </c>
      <c r="J9" s="100">
        <v>210</v>
      </c>
      <c r="K9" s="102">
        <v>22070</v>
      </c>
      <c r="L9" s="100">
        <v>3355</v>
      </c>
      <c r="M9" s="102">
        <v>959213</v>
      </c>
      <c r="N9" s="103" t="s">
        <v>58</v>
      </c>
    </row>
    <row r="10" spans="1:14" ht="15.75" customHeight="1">
      <c r="A10" s="99" t="s">
        <v>59</v>
      </c>
      <c r="B10" s="100">
        <f>_xlfn.COMPOUNDVALUE(13)</f>
        <v>1260</v>
      </c>
      <c r="C10" s="101">
        <v>525792</v>
      </c>
      <c r="D10" s="100">
        <f>_xlfn.COMPOUNDVALUE(14)</f>
        <v>1769</v>
      </c>
      <c r="E10" s="101">
        <v>458603</v>
      </c>
      <c r="F10" s="100">
        <f>_xlfn.COMPOUNDVALUE(15)</f>
        <v>3029</v>
      </c>
      <c r="G10" s="101">
        <v>984395</v>
      </c>
      <c r="H10" s="100">
        <f>_xlfn.COMPOUNDVALUE(16)</f>
        <v>60</v>
      </c>
      <c r="I10" s="102">
        <v>24979</v>
      </c>
      <c r="J10" s="100">
        <v>212</v>
      </c>
      <c r="K10" s="102">
        <v>26670</v>
      </c>
      <c r="L10" s="100">
        <v>3187</v>
      </c>
      <c r="M10" s="102">
        <v>986085</v>
      </c>
      <c r="N10" s="103" t="s">
        <v>59</v>
      </c>
    </row>
    <row r="11" spans="1:14" ht="15.75" customHeight="1">
      <c r="A11" s="99" t="s">
        <v>60</v>
      </c>
      <c r="B11" s="100">
        <f>_xlfn.COMPOUNDVALUE(17)</f>
        <v>1076</v>
      </c>
      <c r="C11" s="101">
        <v>445496</v>
      </c>
      <c r="D11" s="100">
        <f>_xlfn.COMPOUNDVALUE(18)</f>
        <v>1427</v>
      </c>
      <c r="E11" s="101">
        <v>410042</v>
      </c>
      <c r="F11" s="100">
        <f>_xlfn.COMPOUNDVALUE(19)</f>
        <v>2503</v>
      </c>
      <c r="G11" s="101">
        <v>855538</v>
      </c>
      <c r="H11" s="100">
        <f>_xlfn.COMPOUNDVALUE(20)</f>
        <v>75</v>
      </c>
      <c r="I11" s="102">
        <v>31735</v>
      </c>
      <c r="J11" s="100">
        <v>114</v>
      </c>
      <c r="K11" s="102">
        <v>14324</v>
      </c>
      <c r="L11" s="100">
        <v>2603</v>
      </c>
      <c r="M11" s="102">
        <v>838127</v>
      </c>
      <c r="N11" s="103" t="s">
        <v>60</v>
      </c>
    </row>
    <row r="12" spans="1:14" ht="15.75" customHeight="1">
      <c r="A12" s="99" t="s">
        <v>61</v>
      </c>
      <c r="B12" s="100">
        <f>_xlfn.COMPOUNDVALUE(21)</f>
        <v>1960</v>
      </c>
      <c r="C12" s="101">
        <v>659999</v>
      </c>
      <c r="D12" s="100">
        <f>_xlfn.COMPOUNDVALUE(22)</f>
        <v>2802</v>
      </c>
      <c r="E12" s="101">
        <v>727570</v>
      </c>
      <c r="F12" s="100">
        <f>_xlfn.COMPOUNDVALUE(23)</f>
        <v>4762</v>
      </c>
      <c r="G12" s="101">
        <v>1387569</v>
      </c>
      <c r="H12" s="100">
        <f>_xlfn.COMPOUNDVALUE(24)</f>
        <v>119</v>
      </c>
      <c r="I12" s="102">
        <v>67170</v>
      </c>
      <c r="J12" s="100">
        <v>319</v>
      </c>
      <c r="K12" s="102">
        <v>39548</v>
      </c>
      <c r="L12" s="100">
        <v>4991</v>
      </c>
      <c r="M12" s="102">
        <v>1359947</v>
      </c>
      <c r="N12" s="103" t="s">
        <v>61</v>
      </c>
    </row>
    <row r="13" spans="1:14" ht="15.75" customHeight="1">
      <c r="A13" s="99" t="s">
        <v>62</v>
      </c>
      <c r="B13" s="100">
        <f>_xlfn.COMPOUNDVALUE(25)</f>
        <v>2098</v>
      </c>
      <c r="C13" s="101">
        <v>1156388</v>
      </c>
      <c r="D13" s="100">
        <f>_xlfn.COMPOUNDVALUE(26)</f>
        <v>2724</v>
      </c>
      <c r="E13" s="101">
        <v>866083</v>
      </c>
      <c r="F13" s="100">
        <f>_xlfn.COMPOUNDVALUE(27)</f>
        <v>4822</v>
      </c>
      <c r="G13" s="101">
        <v>2022471</v>
      </c>
      <c r="H13" s="100">
        <f>_xlfn.COMPOUNDVALUE(28)</f>
        <v>101</v>
      </c>
      <c r="I13" s="102">
        <v>54360</v>
      </c>
      <c r="J13" s="100">
        <v>268</v>
      </c>
      <c r="K13" s="102">
        <v>48522</v>
      </c>
      <c r="L13" s="100">
        <v>5038</v>
      </c>
      <c r="M13" s="102">
        <v>2016633</v>
      </c>
      <c r="N13" s="103" t="s">
        <v>62</v>
      </c>
    </row>
    <row r="14" spans="1:14" ht="15.75" customHeight="1">
      <c r="A14" s="99" t="s">
        <v>63</v>
      </c>
      <c r="B14" s="100">
        <f>_xlfn.COMPOUNDVALUE(29)</f>
        <v>2047</v>
      </c>
      <c r="C14" s="101">
        <v>767097</v>
      </c>
      <c r="D14" s="100">
        <f>_xlfn.COMPOUNDVALUE(30)</f>
        <v>3140</v>
      </c>
      <c r="E14" s="101">
        <v>826614</v>
      </c>
      <c r="F14" s="100">
        <f>_xlfn.COMPOUNDVALUE(31)</f>
        <v>5187</v>
      </c>
      <c r="G14" s="101">
        <v>1593712</v>
      </c>
      <c r="H14" s="100">
        <f>_xlfn.COMPOUNDVALUE(32)</f>
        <v>151</v>
      </c>
      <c r="I14" s="102">
        <v>88533</v>
      </c>
      <c r="J14" s="100">
        <v>323</v>
      </c>
      <c r="K14" s="102">
        <v>40889</v>
      </c>
      <c r="L14" s="100">
        <v>5434</v>
      </c>
      <c r="M14" s="102">
        <v>1546068</v>
      </c>
      <c r="N14" s="103" t="s">
        <v>63</v>
      </c>
    </row>
    <row r="15" spans="1:14" ht="15.75" customHeight="1">
      <c r="A15" s="99" t="s">
        <v>64</v>
      </c>
      <c r="B15" s="100">
        <f>_xlfn.COMPOUNDVALUE(33)</f>
        <v>826</v>
      </c>
      <c r="C15" s="101">
        <v>339306</v>
      </c>
      <c r="D15" s="100">
        <f>_xlfn.COMPOUNDVALUE(34)</f>
        <v>2229</v>
      </c>
      <c r="E15" s="101">
        <v>512848</v>
      </c>
      <c r="F15" s="100">
        <f>_xlfn.COMPOUNDVALUE(35)</f>
        <v>3055</v>
      </c>
      <c r="G15" s="101">
        <v>852154</v>
      </c>
      <c r="H15" s="100">
        <f>_xlfn.COMPOUNDVALUE(36)</f>
        <v>58</v>
      </c>
      <c r="I15" s="102">
        <v>20085</v>
      </c>
      <c r="J15" s="100">
        <v>101</v>
      </c>
      <c r="K15" s="102">
        <v>9876</v>
      </c>
      <c r="L15" s="100">
        <v>3140</v>
      </c>
      <c r="M15" s="102">
        <v>841946</v>
      </c>
      <c r="N15" s="103" t="s">
        <v>64</v>
      </c>
    </row>
    <row r="16" spans="1:14" ht="15.75" customHeight="1">
      <c r="A16" s="99" t="s">
        <v>65</v>
      </c>
      <c r="B16" s="100">
        <f>_xlfn.COMPOUNDVALUE(37)</f>
        <v>1727</v>
      </c>
      <c r="C16" s="101">
        <v>737042</v>
      </c>
      <c r="D16" s="100">
        <f>_xlfn.COMPOUNDVALUE(38)</f>
        <v>2939</v>
      </c>
      <c r="E16" s="101">
        <v>744432</v>
      </c>
      <c r="F16" s="100">
        <f>_xlfn.COMPOUNDVALUE(39)</f>
        <v>4666</v>
      </c>
      <c r="G16" s="101">
        <v>1481474</v>
      </c>
      <c r="H16" s="100">
        <f>_xlfn.COMPOUNDVALUE(40)</f>
        <v>88</v>
      </c>
      <c r="I16" s="102">
        <v>34855</v>
      </c>
      <c r="J16" s="100">
        <v>213</v>
      </c>
      <c r="K16" s="102">
        <v>21407</v>
      </c>
      <c r="L16" s="100">
        <v>4797</v>
      </c>
      <c r="M16" s="102">
        <v>1468026</v>
      </c>
      <c r="N16" s="103" t="s">
        <v>65</v>
      </c>
    </row>
    <row r="17" spans="1:14" ht="15.75" customHeight="1">
      <c r="A17" s="99" t="s">
        <v>66</v>
      </c>
      <c r="B17" s="100">
        <f>_xlfn.COMPOUNDVALUE(41)</f>
        <v>446</v>
      </c>
      <c r="C17" s="101">
        <v>147715</v>
      </c>
      <c r="D17" s="100">
        <f>_xlfn.COMPOUNDVALUE(42)</f>
        <v>609</v>
      </c>
      <c r="E17" s="101">
        <v>149159</v>
      </c>
      <c r="F17" s="100">
        <f>_xlfn.COMPOUNDVALUE(43)</f>
        <v>1055</v>
      </c>
      <c r="G17" s="101">
        <v>296875</v>
      </c>
      <c r="H17" s="100">
        <f>_xlfn.COMPOUNDVALUE(44)</f>
        <v>22</v>
      </c>
      <c r="I17" s="102">
        <v>6454</v>
      </c>
      <c r="J17" s="100">
        <v>67</v>
      </c>
      <c r="K17" s="102">
        <v>14296</v>
      </c>
      <c r="L17" s="100">
        <v>1108</v>
      </c>
      <c r="M17" s="102">
        <v>304716</v>
      </c>
      <c r="N17" s="103" t="s">
        <v>66</v>
      </c>
    </row>
    <row r="18" spans="1:14" ht="15.75" customHeight="1">
      <c r="A18" s="104" t="s">
        <v>67</v>
      </c>
      <c r="B18" s="105">
        <f>_xlfn.COMPOUNDVALUE(45)</f>
        <v>686</v>
      </c>
      <c r="C18" s="106">
        <v>335540</v>
      </c>
      <c r="D18" s="105">
        <f>_xlfn.COMPOUNDVALUE(46)</f>
        <v>909</v>
      </c>
      <c r="E18" s="106">
        <v>218268</v>
      </c>
      <c r="F18" s="105">
        <f>_xlfn.COMPOUNDVALUE(47)</f>
        <v>1595</v>
      </c>
      <c r="G18" s="106">
        <v>553808</v>
      </c>
      <c r="H18" s="105">
        <f>_xlfn.COMPOUNDVALUE(48)</f>
        <v>38</v>
      </c>
      <c r="I18" s="107">
        <v>4579</v>
      </c>
      <c r="J18" s="105">
        <v>93</v>
      </c>
      <c r="K18" s="107">
        <v>18407</v>
      </c>
      <c r="L18" s="105">
        <v>1670</v>
      </c>
      <c r="M18" s="107">
        <v>567636</v>
      </c>
      <c r="N18" s="108" t="s">
        <v>67</v>
      </c>
    </row>
    <row r="19" spans="1:14" ht="15.75" customHeight="1">
      <c r="A19" s="104" t="s">
        <v>68</v>
      </c>
      <c r="B19" s="105">
        <f>_xlfn.COMPOUNDVALUE(49)</f>
        <v>522</v>
      </c>
      <c r="C19" s="106">
        <v>211153</v>
      </c>
      <c r="D19" s="105">
        <f>_xlfn.COMPOUNDVALUE(50)</f>
        <v>681</v>
      </c>
      <c r="E19" s="106">
        <v>160498</v>
      </c>
      <c r="F19" s="105">
        <f>_xlfn.COMPOUNDVALUE(51)</f>
        <v>1203</v>
      </c>
      <c r="G19" s="106">
        <v>371651</v>
      </c>
      <c r="H19" s="105">
        <f>_xlfn.COMPOUNDVALUE(52)</f>
        <v>20</v>
      </c>
      <c r="I19" s="107">
        <v>9457</v>
      </c>
      <c r="J19" s="105">
        <v>77</v>
      </c>
      <c r="K19" s="107">
        <v>11964</v>
      </c>
      <c r="L19" s="105">
        <v>1245</v>
      </c>
      <c r="M19" s="107">
        <v>374158</v>
      </c>
      <c r="N19" s="108" t="s">
        <v>68</v>
      </c>
    </row>
    <row r="20" spans="1:14" ht="15.75" customHeight="1">
      <c r="A20" s="104" t="s">
        <v>69</v>
      </c>
      <c r="B20" s="105">
        <f>_xlfn.COMPOUNDVALUE(53)</f>
        <v>376</v>
      </c>
      <c r="C20" s="106">
        <v>135273</v>
      </c>
      <c r="D20" s="105">
        <f>_xlfn.COMPOUNDVALUE(54)</f>
        <v>810</v>
      </c>
      <c r="E20" s="106">
        <v>179917</v>
      </c>
      <c r="F20" s="105">
        <f>_xlfn.COMPOUNDVALUE(55)</f>
        <v>1186</v>
      </c>
      <c r="G20" s="106">
        <v>315191</v>
      </c>
      <c r="H20" s="105">
        <f>_xlfn.COMPOUNDVALUE(56)</f>
        <v>33</v>
      </c>
      <c r="I20" s="107">
        <v>6099</v>
      </c>
      <c r="J20" s="105">
        <v>58</v>
      </c>
      <c r="K20" s="107">
        <v>10021</v>
      </c>
      <c r="L20" s="105">
        <v>1233</v>
      </c>
      <c r="M20" s="107">
        <v>319113</v>
      </c>
      <c r="N20" s="108" t="s">
        <v>69</v>
      </c>
    </row>
    <row r="21" spans="1:14" ht="15.75" customHeight="1">
      <c r="A21" s="104" t="s">
        <v>70</v>
      </c>
      <c r="B21" s="105">
        <f>_xlfn.COMPOUNDVALUE(57)</f>
        <v>661</v>
      </c>
      <c r="C21" s="106">
        <v>243782</v>
      </c>
      <c r="D21" s="105">
        <f>_xlfn.COMPOUNDVALUE(58)</f>
        <v>1754</v>
      </c>
      <c r="E21" s="106">
        <v>375237</v>
      </c>
      <c r="F21" s="105">
        <f>_xlfn.COMPOUNDVALUE(59)</f>
        <v>2415</v>
      </c>
      <c r="G21" s="106">
        <v>619019</v>
      </c>
      <c r="H21" s="105">
        <f>_xlfn.COMPOUNDVALUE(60)</f>
        <v>45</v>
      </c>
      <c r="I21" s="107">
        <v>17864</v>
      </c>
      <c r="J21" s="105">
        <v>93</v>
      </c>
      <c r="K21" s="107">
        <v>11580</v>
      </c>
      <c r="L21" s="105">
        <v>2479</v>
      </c>
      <c r="M21" s="107">
        <v>612734</v>
      </c>
      <c r="N21" s="108" t="s">
        <v>70</v>
      </c>
    </row>
    <row r="22" spans="1:14" ht="15.75" customHeight="1">
      <c r="A22" s="104" t="s">
        <v>71</v>
      </c>
      <c r="B22" s="105">
        <f>_xlfn.COMPOUNDVALUE(61)</f>
        <v>310</v>
      </c>
      <c r="C22" s="106">
        <v>120329</v>
      </c>
      <c r="D22" s="105">
        <f>_xlfn.COMPOUNDVALUE(62)</f>
        <v>682</v>
      </c>
      <c r="E22" s="106">
        <v>150685</v>
      </c>
      <c r="F22" s="105">
        <f>_xlfn.COMPOUNDVALUE(63)</f>
        <v>992</v>
      </c>
      <c r="G22" s="106">
        <v>271014</v>
      </c>
      <c r="H22" s="105">
        <f>_xlfn.COMPOUNDVALUE(64)</f>
        <v>18</v>
      </c>
      <c r="I22" s="107">
        <v>6494</v>
      </c>
      <c r="J22" s="105">
        <v>45</v>
      </c>
      <c r="K22" s="107">
        <v>3110</v>
      </c>
      <c r="L22" s="105">
        <v>1022</v>
      </c>
      <c r="M22" s="107">
        <v>267630</v>
      </c>
      <c r="N22" s="108" t="s">
        <v>71</v>
      </c>
    </row>
    <row r="23" spans="1:14" ht="15.75" customHeight="1">
      <c r="A23" s="104" t="s">
        <v>72</v>
      </c>
      <c r="B23" s="105">
        <f>_xlfn.COMPOUNDVALUE(65)</f>
        <v>610</v>
      </c>
      <c r="C23" s="106">
        <v>188777</v>
      </c>
      <c r="D23" s="105">
        <f>_xlfn.COMPOUNDVALUE(66)</f>
        <v>795</v>
      </c>
      <c r="E23" s="106">
        <v>187745</v>
      </c>
      <c r="F23" s="105">
        <f>_xlfn.COMPOUNDVALUE(67)</f>
        <v>1405</v>
      </c>
      <c r="G23" s="106">
        <v>376522</v>
      </c>
      <c r="H23" s="105">
        <f>_xlfn.COMPOUNDVALUE(68)</f>
        <v>30</v>
      </c>
      <c r="I23" s="107">
        <v>6330</v>
      </c>
      <c r="J23" s="105">
        <v>73</v>
      </c>
      <c r="K23" s="107">
        <v>7035</v>
      </c>
      <c r="L23" s="105">
        <v>1452</v>
      </c>
      <c r="M23" s="107">
        <v>377227</v>
      </c>
      <c r="N23" s="108" t="s">
        <v>72</v>
      </c>
    </row>
    <row r="24" spans="1:14" ht="15.75" customHeight="1">
      <c r="A24" s="104" t="s">
        <v>73</v>
      </c>
      <c r="B24" s="105">
        <f>_xlfn.COMPOUNDVALUE(69)</f>
        <v>1482</v>
      </c>
      <c r="C24" s="106">
        <v>515780</v>
      </c>
      <c r="D24" s="105">
        <f>_xlfn.COMPOUNDVALUE(70)</f>
        <v>1846</v>
      </c>
      <c r="E24" s="106">
        <v>495038</v>
      </c>
      <c r="F24" s="105">
        <f>_xlfn.COMPOUNDVALUE(71)</f>
        <v>3328</v>
      </c>
      <c r="G24" s="106">
        <v>1010818</v>
      </c>
      <c r="H24" s="105">
        <f>_xlfn.COMPOUNDVALUE(72)</f>
        <v>126</v>
      </c>
      <c r="I24" s="107">
        <v>80805</v>
      </c>
      <c r="J24" s="105">
        <v>235</v>
      </c>
      <c r="K24" s="107">
        <v>31482</v>
      </c>
      <c r="L24" s="105">
        <v>3536</v>
      </c>
      <c r="M24" s="107">
        <v>961495</v>
      </c>
      <c r="N24" s="108" t="s">
        <v>73</v>
      </c>
    </row>
    <row r="25" spans="1:14" ht="15.75" customHeight="1">
      <c r="A25" s="109" t="s">
        <v>74</v>
      </c>
      <c r="B25" s="110">
        <v>18422</v>
      </c>
      <c r="C25" s="111">
        <v>7304739</v>
      </c>
      <c r="D25" s="110">
        <v>28283</v>
      </c>
      <c r="E25" s="111">
        <v>7287853</v>
      </c>
      <c r="F25" s="110">
        <v>46705</v>
      </c>
      <c r="G25" s="111">
        <v>14592591</v>
      </c>
      <c r="H25" s="110">
        <v>1111</v>
      </c>
      <c r="I25" s="112">
        <v>513301</v>
      </c>
      <c r="J25" s="110">
        <v>2693</v>
      </c>
      <c r="K25" s="112">
        <v>380793</v>
      </c>
      <c r="L25" s="110">
        <v>48760</v>
      </c>
      <c r="M25" s="112">
        <v>14460083</v>
      </c>
      <c r="N25" s="113" t="s">
        <v>74</v>
      </c>
    </row>
    <row r="26" spans="1:14" ht="13.5">
      <c r="A26" s="114"/>
      <c r="B26" s="115"/>
      <c r="C26" s="116"/>
      <c r="D26" s="115"/>
      <c r="E26" s="116"/>
      <c r="F26" s="115"/>
      <c r="G26" s="117"/>
      <c r="H26" s="115"/>
      <c r="I26" s="117"/>
      <c r="J26" s="115"/>
      <c r="K26" s="117"/>
      <c r="L26" s="115"/>
      <c r="M26" s="117"/>
      <c r="N26" s="118"/>
    </row>
    <row r="27" spans="1:14" ht="13.5">
      <c r="A27" s="99" t="s">
        <v>75</v>
      </c>
      <c r="B27" s="100">
        <f>_xlfn.COMPOUNDVALUE(73)</f>
        <v>1121</v>
      </c>
      <c r="C27" s="119">
        <v>493269</v>
      </c>
      <c r="D27" s="100">
        <f>_xlfn.COMPOUNDVALUE(74)</f>
        <v>3137</v>
      </c>
      <c r="E27" s="119">
        <v>765875</v>
      </c>
      <c r="F27" s="100">
        <f>_xlfn.COMPOUNDVALUE(75)</f>
        <v>4258</v>
      </c>
      <c r="G27" s="101">
        <v>1259144</v>
      </c>
      <c r="H27" s="100">
        <f>_xlfn.COMPOUNDVALUE(76)</f>
        <v>114</v>
      </c>
      <c r="I27" s="102">
        <v>45677</v>
      </c>
      <c r="J27" s="100">
        <v>238</v>
      </c>
      <c r="K27" s="102">
        <v>21824</v>
      </c>
      <c r="L27" s="100">
        <v>4429</v>
      </c>
      <c r="M27" s="102">
        <v>1235291</v>
      </c>
      <c r="N27" s="103" t="s">
        <v>75</v>
      </c>
    </row>
    <row r="28" spans="1:14" ht="13.5">
      <c r="A28" s="104" t="s">
        <v>76</v>
      </c>
      <c r="B28" s="105">
        <f>_xlfn.COMPOUNDVALUE(77)</f>
        <v>603</v>
      </c>
      <c r="C28" s="106">
        <v>257813</v>
      </c>
      <c r="D28" s="105">
        <f>_xlfn.COMPOUNDVALUE(78)</f>
        <v>1434</v>
      </c>
      <c r="E28" s="106">
        <v>328417</v>
      </c>
      <c r="F28" s="105">
        <f>_xlfn.COMPOUNDVALUE(79)</f>
        <v>2037</v>
      </c>
      <c r="G28" s="106">
        <v>586230</v>
      </c>
      <c r="H28" s="105">
        <f>_xlfn.COMPOUNDVALUE(80)</f>
        <v>49</v>
      </c>
      <c r="I28" s="107">
        <v>15810</v>
      </c>
      <c r="J28" s="105">
        <v>82</v>
      </c>
      <c r="K28" s="107">
        <v>14555</v>
      </c>
      <c r="L28" s="105">
        <v>2118</v>
      </c>
      <c r="M28" s="107">
        <v>584975</v>
      </c>
      <c r="N28" s="108" t="s">
        <v>76</v>
      </c>
    </row>
    <row r="29" spans="1:14" ht="13.5">
      <c r="A29" s="104" t="s">
        <v>77</v>
      </c>
      <c r="B29" s="105">
        <f>_xlfn.COMPOUNDVALUE(81)</f>
        <v>509</v>
      </c>
      <c r="C29" s="106">
        <v>191712</v>
      </c>
      <c r="D29" s="105">
        <f>_xlfn.COMPOUNDVALUE(82)</f>
        <v>880</v>
      </c>
      <c r="E29" s="106">
        <v>225348</v>
      </c>
      <c r="F29" s="105">
        <f>_xlfn.COMPOUNDVALUE(83)</f>
        <v>1389</v>
      </c>
      <c r="G29" s="106">
        <v>417060</v>
      </c>
      <c r="H29" s="105">
        <f>_xlfn.COMPOUNDVALUE(84)</f>
        <v>34</v>
      </c>
      <c r="I29" s="107">
        <v>17405</v>
      </c>
      <c r="J29" s="105">
        <v>87</v>
      </c>
      <c r="K29" s="107">
        <v>3083</v>
      </c>
      <c r="L29" s="105">
        <v>1450</v>
      </c>
      <c r="M29" s="107">
        <v>402738</v>
      </c>
      <c r="N29" s="108" t="s">
        <v>77</v>
      </c>
    </row>
    <row r="30" spans="1:14" ht="13.5">
      <c r="A30" s="104" t="s">
        <v>78</v>
      </c>
      <c r="B30" s="105">
        <f>_xlfn.COMPOUNDVALUE(85)</f>
        <v>285</v>
      </c>
      <c r="C30" s="106">
        <v>102626</v>
      </c>
      <c r="D30" s="105">
        <f>_xlfn.COMPOUNDVALUE(86)</f>
        <v>512</v>
      </c>
      <c r="E30" s="106">
        <v>109722</v>
      </c>
      <c r="F30" s="105">
        <f>_xlfn.COMPOUNDVALUE(87)</f>
        <v>797</v>
      </c>
      <c r="G30" s="106">
        <v>212348</v>
      </c>
      <c r="H30" s="105">
        <f>_xlfn.COMPOUNDVALUE(88)</f>
        <v>40</v>
      </c>
      <c r="I30" s="107">
        <v>12248</v>
      </c>
      <c r="J30" s="105">
        <v>50</v>
      </c>
      <c r="K30" s="107">
        <v>3125</v>
      </c>
      <c r="L30" s="105">
        <v>851</v>
      </c>
      <c r="M30" s="107">
        <v>203225</v>
      </c>
      <c r="N30" s="108" t="s">
        <v>78</v>
      </c>
    </row>
    <row r="31" spans="1:14" ht="13.5">
      <c r="A31" s="104" t="s">
        <v>79</v>
      </c>
      <c r="B31" s="105">
        <f>_xlfn.COMPOUNDVALUE(89)</f>
        <v>663</v>
      </c>
      <c r="C31" s="106">
        <v>284117</v>
      </c>
      <c r="D31" s="105">
        <f>_xlfn.COMPOUNDVALUE(90)</f>
        <v>1949</v>
      </c>
      <c r="E31" s="106">
        <v>424833</v>
      </c>
      <c r="F31" s="105">
        <f>_xlfn.COMPOUNDVALUE(91)</f>
        <v>2612</v>
      </c>
      <c r="G31" s="106">
        <v>708950</v>
      </c>
      <c r="H31" s="105">
        <f>_xlfn.COMPOUNDVALUE(92)</f>
        <v>69</v>
      </c>
      <c r="I31" s="107">
        <v>30999</v>
      </c>
      <c r="J31" s="105">
        <v>105</v>
      </c>
      <c r="K31" s="107">
        <v>6490</v>
      </c>
      <c r="L31" s="105">
        <v>2696</v>
      </c>
      <c r="M31" s="107">
        <v>684441</v>
      </c>
      <c r="N31" s="108" t="s">
        <v>79</v>
      </c>
    </row>
    <row r="32" spans="1:14" ht="13.5">
      <c r="A32" s="109" t="s">
        <v>80</v>
      </c>
      <c r="B32" s="110">
        <v>3181</v>
      </c>
      <c r="C32" s="111">
        <v>1329537</v>
      </c>
      <c r="D32" s="110">
        <v>7912</v>
      </c>
      <c r="E32" s="111">
        <v>1854195</v>
      </c>
      <c r="F32" s="110">
        <v>11093</v>
      </c>
      <c r="G32" s="111">
        <v>3183731</v>
      </c>
      <c r="H32" s="110">
        <v>306</v>
      </c>
      <c r="I32" s="112">
        <v>122139</v>
      </c>
      <c r="J32" s="110">
        <v>562</v>
      </c>
      <c r="K32" s="112">
        <v>49077</v>
      </c>
      <c r="L32" s="110">
        <v>11544</v>
      </c>
      <c r="M32" s="112">
        <v>3110669</v>
      </c>
      <c r="N32" s="113" t="s">
        <v>80</v>
      </c>
    </row>
    <row r="33" spans="1:14" ht="13.5">
      <c r="A33" s="114"/>
      <c r="B33" s="120"/>
      <c r="C33" s="117"/>
      <c r="D33" s="120"/>
      <c r="E33" s="117"/>
      <c r="F33" s="115"/>
      <c r="G33" s="117"/>
      <c r="H33" s="115"/>
      <c r="I33" s="117"/>
      <c r="J33" s="115"/>
      <c r="K33" s="117"/>
      <c r="L33" s="115"/>
      <c r="M33" s="117"/>
      <c r="N33" s="118"/>
    </row>
    <row r="34" spans="1:14" ht="13.5">
      <c r="A34" s="99" t="s">
        <v>81</v>
      </c>
      <c r="B34" s="100">
        <f>_xlfn.COMPOUNDVALUE(93)</f>
        <v>1924</v>
      </c>
      <c r="C34" s="101">
        <v>675320</v>
      </c>
      <c r="D34" s="100">
        <f>_xlfn.COMPOUNDVALUE(94)</f>
        <v>2640</v>
      </c>
      <c r="E34" s="101">
        <v>649655</v>
      </c>
      <c r="F34" s="100">
        <f>_xlfn.COMPOUNDVALUE(95)</f>
        <v>4564</v>
      </c>
      <c r="G34" s="101">
        <v>1324975</v>
      </c>
      <c r="H34" s="100">
        <f>_xlfn.COMPOUNDVALUE(96)</f>
        <v>90</v>
      </c>
      <c r="I34" s="102">
        <v>21429</v>
      </c>
      <c r="J34" s="100">
        <v>330</v>
      </c>
      <c r="K34" s="102">
        <v>25294</v>
      </c>
      <c r="L34" s="100">
        <v>4704</v>
      </c>
      <c r="M34" s="102">
        <v>1328840</v>
      </c>
      <c r="N34" s="121" t="s">
        <v>81</v>
      </c>
    </row>
    <row r="35" spans="1:14" ht="13.5">
      <c r="A35" s="104" t="s">
        <v>82</v>
      </c>
      <c r="B35" s="105">
        <f>_xlfn.COMPOUNDVALUE(97)</f>
        <v>1122</v>
      </c>
      <c r="C35" s="106">
        <v>396772</v>
      </c>
      <c r="D35" s="105">
        <f>_xlfn.COMPOUNDVALUE(98)</f>
        <v>1719</v>
      </c>
      <c r="E35" s="106">
        <v>409965</v>
      </c>
      <c r="F35" s="105">
        <f>_xlfn.COMPOUNDVALUE(99)</f>
        <v>2841</v>
      </c>
      <c r="G35" s="106">
        <v>806737</v>
      </c>
      <c r="H35" s="105">
        <f>_xlfn.COMPOUNDVALUE(100)</f>
        <v>63</v>
      </c>
      <c r="I35" s="107">
        <v>23881</v>
      </c>
      <c r="J35" s="105">
        <v>134</v>
      </c>
      <c r="K35" s="107">
        <v>21542</v>
      </c>
      <c r="L35" s="105">
        <v>2960</v>
      </c>
      <c r="M35" s="107">
        <v>804398</v>
      </c>
      <c r="N35" s="108" t="s">
        <v>82</v>
      </c>
    </row>
    <row r="36" spans="1:14" ht="13.5">
      <c r="A36" s="104" t="s">
        <v>83</v>
      </c>
      <c r="B36" s="105">
        <f>_xlfn.COMPOUNDVALUE(101)</f>
        <v>849</v>
      </c>
      <c r="C36" s="106">
        <v>372513</v>
      </c>
      <c r="D36" s="105">
        <f>_xlfn.COMPOUNDVALUE(102)</f>
        <v>2308</v>
      </c>
      <c r="E36" s="106">
        <v>502985</v>
      </c>
      <c r="F36" s="105">
        <f>_xlfn.COMPOUNDVALUE(103)</f>
        <v>3157</v>
      </c>
      <c r="G36" s="106">
        <v>875498</v>
      </c>
      <c r="H36" s="105">
        <f>_xlfn.COMPOUNDVALUE(104)</f>
        <v>70</v>
      </c>
      <c r="I36" s="107">
        <v>21087</v>
      </c>
      <c r="J36" s="105">
        <v>205</v>
      </c>
      <c r="K36" s="107">
        <v>36128</v>
      </c>
      <c r="L36" s="105">
        <v>3334</v>
      </c>
      <c r="M36" s="107">
        <v>890539</v>
      </c>
      <c r="N36" s="108" t="s">
        <v>83</v>
      </c>
    </row>
    <row r="37" spans="1:14" ht="13.5">
      <c r="A37" s="104" t="s">
        <v>84</v>
      </c>
      <c r="B37" s="105">
        <f>_xlfn.COMPOUNDVALUE(105)</f>
        <v>684</v>
      </c>
      <c r="C37" s="106">
        <v>319193</v>
      </c>
      <c r="D37" s="105">
        <f>_xlfn.COMPOUNDVALUE(106)</f>
        <v>1488</v>
      </c>
      <c r="E37" s="106">
        <v>358368</v>
      </c>
      <c r="F37" s="105">
        <f>_xlfn.COMPOUNDVALUE(107)</f>
        <v>2172</v>
      </c>
      <c r="G37" s="106">
        <v>677560</v>
      </c>
      <c r="H37" s="105">
        <f>_xlfn.COMPOUNDVALUE(108)</f>
        <v>40</v>
      </c>
      <c r="I37" s="107">
        <v>4547</v>
      </c>
      <c r="J37" s="105">
        <v>110</v>
      </c>
      <c r="K37" s="107">
        <v>11745</v>
      </c>
      <c r="L37" s="105">
        <v>2240</v>
      </c>
      <c r="M37" s="107">
        <v>684758</v>
      </c>
      <c r="N37" s="108" t="s">
        <v>84</v>
      </c>
    </row>
    <row r="38" spans="1:14" ht="13.5">
      <c r="A38" s="104" t="s">
        <v>85</v>
      </c>
      <c r="B38" s="105">
        <f>_xlfn.COMPOUNDVALUE(109)</f>
        <v>250</v>
      </c>
      <c r="C38" s="106">
        <v>89134</v>
      </c>
      <c r="D38" s="105">
        <f>_xlfn.COMPOUNDVALUE(110)</f>
        <v>533</v>
      </c>
      <c r="E38" s="106">
        <v>110101</v>
      </c>
      <c r="F38" s="105">
        <f>_xlfn.COMPOUNDVALUE(111)</f>
        <v>783</v>
      </c>
      <c r="G38" s="106">
        <v>199235</v>
      </c>
      <c r="H38" s="105">
        <f>_xlfn.COMPOUNDVALUE(112)</f>
        <v>12</v>
      </c>
      <c r="I38" s="107">
        <v>1144</v>
      </c>
      <c r="J38" s="105">
        <v>38</v>
      </c>
      <c r="K38" s="107">
        <v>2409</v>
      </c>
      <c r="L38" s="105">
        <v>804</v>
      </c>
      <c r="M38" s="107">
        <v>200499</v>
      </c>
      <c r="N38" s="108" t="s">
        <v>85</v>
      </c>
    </row>
    <row r="39" spans="1:14" ht="13.5">
      <c r="A39" s="104" t="s">
        <v>86</v>
      </c>
      <c r="B39" s="105">
        <f>_xlfn.COMPOUNDVALUE(113)</f>
        <v>312</v>
      </c>
      <c r="C39" s="106">
        <v>110807</v>
      </c>
      <c r="D39" s="105">
        <f>_xlfn.COMPOUNDVALUE(114)</f>
        <v>648</v>
      </c>
      <c r="E39" s="106">
        <v>144664</v>
      </c>
      <c r="F39" s="105">
        <f>_xlfn.COMPOUNDVALUE(115)</f>
        <v>960</v>
      </c>
      <c r="G39" s="106">
        <v>255471</v>
      </c>
      <c r="H39" s="105">
        <f>_xlfn.COMPOUNDVALUE(116)</f>
        <v>16</v>
      </c>
      <c r="I39" s="107">
        <v>9234</v>
      </c>
      <c r="J39" s="105">
        <v>35</v>
      </c>
      <c r="K39" s="107">
        <v>5917</v>
      </c>
      <c r="L39" s="105">
        <v>989</v>
      </c>
      <c r="M39" s="107">
        <v>252154</v>
      </c>
      <c r="N39" s="108" t="s">
        <v>86</v>
      </c>
    </row>
    <row r="40" spans="1:14" ht="13.5">
      <c r="A40" s="104" t="s">
        <v>87</v>
      </c>
      <c r="B40" s="105">
        <f>_xlfn.COMPOUNDVALUE(117)</f>
        <v>205</v>
      </c>
      <c r="C40" s="106">
        <v>66332</v>
      </c>
      <c r="D40" s="105">
        <f>_xlfn.COMPOUNDVALUE(118)</f>
        <v>248</v>
      </c>
      <c r="E40" s="106">
        <v>51544</v>
      </c>
      <c r="F40" s="105">
        <f>_xlfn.COMPOUNDVALUE(119)</f>
        <v>453</v>
      </c>
      <c r="G40" s="106">
        <v>117876</v>
      </c>
      <c r="H40" s="105">
        <f>_xlfn.COMPOUNDVALUE(120)</f>
        <v>14</v>
      </c>
      <c r="I40" s="107">
        <v>3710</v>
      </c>
      <c r="J40" s="105">
        <v>24</v>
      </c>
      <c r="K40" s="107">
        <v>2562</v>
      </c>
      <c r="L40" s="105">
        <v>473</v>
      </c>
      <c r="M40" s="107">
        <v>116728</v>
      </c>
      <c r="N40" s="108" t="s">
        <v>87</v>
      </c>
    </row>
    <row r="41" spans="1:14" ht="13.5">
      <c r="A41" s="104" t="s">
        <v>88</v>
      </c>
      <c r="B41" s="105">
        <f>_xlfn.COMPOUNDVALUE(121)</f>
        <v>194</v>
      </c>
      <c r="C41" s="106">
        <v>83395</v>
      </c>
      <c r="D41" s="105">
        <f>_xlfn.COMPOUNDVALUE(122)</f>
        <v>474</v>
      </c>
      <c r="E41" s="106">
        <v>109741</v>
      </c>
      <c r="F41" s="105">
        <f>_xlfn.COMPOUNDVALUE(123)</f>
        <v>668</v>
      </c>
      <c r="G41" s="106">
        <v>193137</v>
      </c>
      <c r="H41" s="105">
        <f>_xlfn.COMPOUNDVALUE(124)</f>
        <v>14</v>
      </c>
      <c r="I41" s="107">
        <v>7354</v>
      </c>
      <c r="J41" s="105">
        <v>16</v>
      </c>
      <c r="K41" s="107">
        <v>1695</v>
      </c>
      <c r="L41" s="105">
        <v>686</v>
      </c>
      <c r="M41" s="107">
        <v>187478</v>
      </c>
      <c r="N41" s="108" t="s">
        <v>88</v>
      </c>
    </row>
    <row r="42" spans="1:14" ht="13.5">
      <c r="A42" s="109" t="s">
        <v>89</v>
      </c>
      <c r="B42" s="110">
        <v>5540</v>
      </c>
      <c r="C42" s="111">
        <v>2113466</v>
      </c>
      <c r="D42" s="110">
        <v>10058</v>
      </c>
      <c r="E42" s="111">
        <v>2337022</v>
      </c>
      <c r="F42" s="110">
        <v>15598</v>
      </c>
      <c r="G42" s="111">
        <v>4450488</v>
      </c>
      <c r="H42" s="110">
        <v>319</v>
      </c>
      <c r="I42" s="112">
        <v>92386</v>
      </c>
      <c r="J42" s="110">
        <v>892</v>
      </c>
      <c r="K42" s="112">
        <v>107292</v>
      </c>
      <c r="L42" s="110">
        <v>16190</v>
      </c>
      <c r="M42" s="112">
        <v>4465393</v>
      </c>
      <c r="N42" s="113" t="s">
        <v>89</v>
      </c>
    </row>
    <row r="43" spans="1:14" ht="14.25" thickBot="1">
      <c r="A43" s="122"/>
      <c r="B43" s="123"/>
      <c r="C43" s="124"/>
      <c r="D43" s="123"/>
      <c r="E43" s="124"/>
      <c r="F43" s="125"/>
      <c r="G43" s="124"/>
      <c r="H43" s="125"/>
      <c r="I43" s="124"/>
      <c r="J43" s="125"/>
      <c r="K43" s="124"/>
      <c r="L43" s="125"/>
      <c r="M43" s="124"/>
      <c r="N43" s="126"/>
    </row>
    <row r="44" spans="1:14" ht="15" thickBot="1" thickTop="1">
      <c r="A44" s="127" t="s">
        <v>90</v>
      </c>
      <c r="B44" s="128">
        <v>27143</v>
      </c>
      <c r="C44" s="129">
        <v>10747742</v>
      </c>
      <c r="D44" s="128">
        <v>46253</v>
      </c>
      <c r="E44" s="129">
        <v>11479069</v>
      </c>
      <c r="F44" s="128">
        <v>73396</v>
      </c>
      <c r="G44" s="129">
        <v>22226810</v>
      </c>
      <c r="H44" s="128">
        <v>1736</v>
      </c>
      <c r="I44" s="130">
        <v>727827</v>
      </c>
      <c r="J44" s="128">
        <v>4147</v>
      </c>
      <c r="K44" s="130">
        <v>537162</v>
      </c>
      <c r="L44" s="128">
        <v>76494</v>
      </c>
      <c r="M44" s="130">
        <v>22036146</v>
      </c>
      <c r="N44" s="131" t="s">
        <v>91</v>
      </c>
    </row>
    <row r="45" spans="1:14" ht="13.5">
      <c r="A45" s="233" t="s">
        <v>92</v>
      </c>
      <c r="B45" s="233"/>
      <c r="C45" s="233"/>
      <c r="D45" s="233"/>
      <c r="E45" s="233"/>
      <c r="F45" s="233"/>
      <c r="G45" s="233"/>
      <c r="H45" s="233"/>
      <c r="I45" s="233"/>
      <c r="J45" s="132"/>
      <c r="K45" s="132"/>
      <c r="L45" s="88"/>
      <c r="M45" s="88"/>
      <c r="N45" s="88"/>
    </row>
  </sheetData>
  <sheetProtection/>
  <mergeCells count="11">
    <mergeCell ref="A2:G2"/>
    <mergeCell ref="A3:A5"/>
    <mergeCell ref="B3:G3"/>
    <mergeCell ref="H3:I4"/>
    <mergeCell ref="J3:K4"/>
    <mergeCell ref="L3:M4"/>
    <mergeCell ref="N3:N5"/>
    <mergeCell ref="B4:C4"/>
    <mergeCell ref="D4:E4"/>
    <mergeCell ref="F4:G4"/>
    <mergeCell ref="A45:I45"/>
  </mergeCells>
  <printOptions/>
  <pageMargins left="0.5905511811023623" right="0.5905511811023623" top="0.984251968503937" bottom="0.5905511811023623" header="0.5118110236220472" footer="0.5118110236220472"/>
  <pageSetup horizontalDpi="600" verticalDpi="600" orientation="landscape" paperSize="9" scale="78" r:id="rId1"/>
  <headerFooter>
    <oddFooter>&amp;R福岡国税局
消費税
(H24)</oddFooter>
  </headerFooter>
</worksheet>
</file>

<file path=xl/worksheets/sheet5.xml><?xml version="1.0" encoding="utf-8"?>
<worksheet xmlns="http://schemas.openxmlformats.org/spreadsheetml/2006/main" xmlns:r="http://schemas.openxmlformats.org/officeDocument/2006/relationships">
  <dimension ref="A1:N45"/>
  <sheetViews>
    <sheetView zoomScalePageLayoutView="0" workbookViewId="0" topLeftCell="A1">
      <selection activeCell="A1" sqref="A1"/>
    </sheetView>
  </sheetViews>
  <sheetFormatPr defaultColWidth="9.00390625" defaultRowHeight="13.5"/>
  <cols>
    <col min="1" max="1" width="11.375" style="0" customWidth="1"/>
    <col min="2" max="2" width="10.625" style="0" customWidth="1"/>
    <col min="3" max="3" width="12.625" style="0" customWidth="1"/>
    <col min="4" max="4" width="10.625" style="0" customWidth="1"/>
    <col min="5" max="5" width="12.625" style="0" customWidth="1"/>
    <col min="6" max="6" width="10.625" style="0" customWidth="1"/>
    <col min="7" max="7" width="12.625" style="0" customWidth="1"/>
    <col min="8" max="8" width="10.625" style="0" customWidth="1"/>
    <col min="9" max="9" width="12.625" style="0" customWidth="1"/>
    <col min="10" max="10" width="10.625" style="0" customWidth="1"/>
    <col min="11" max="11" width="12.625" style="0" customWidth="1"/>
    <col min="12" max="12" width="10.625" style="0" customWidth="1"/>
    <col min="13" max="13" width="12.625" style="0" customWidth="1"/>
    <col min="14" max="14" width="11.375" style="0" customWidth="1"/>
  </cols>
  <sheetData>
    <row r="1" spans="1:14" ht="13.5">
      <c r="A1" s="87" t="s">
        <v>41</v>
      </c>
      <c r="B1" s="87"/>
      <c r="C1" s="87"/>
      <c r="D1" s="87"/>
      <c r="E1" s="87"/>
      <c r="F1" s="87"/>
      <c r="G1" s="87"/>
      <c r="H1" s="88"/>
      <c r="I1" s="88"/>
      <c r="J1" s="88"/>
      <c r="K1" s="88"/>
      <c r="L1" s="88"/>
      <c r="M1" s="88"/>
      <c r="N1" s="88"/>
    </row>
    <row r="2" spans="1:14" ht="14.25" thickBot="1">
      <c r="A2" s="240" t="s">
        <v>93</v>
      </c>
      <c r="B2" s="240"/>
      <c r="C2" s="240"/>
      <c r="D2" s="240"/>
      <c r="E2" s="240"/>
      <c r="F2" s="240"/>
      <c r="G2" s="240"/>
      <c r="H2" s="240"/>
      <c r="I2" s="240"/>
      <c r="J2" s="88"/>
      <c r="K2" s="88"/>
      <c r="L2" s="88"/>
      <c r="M2" s="88"/>
      <c r="N2" s="88"/>
    </row>
    <row r="3" spans="1:14" ht="19.5" customHeight="1">
      <c r="A3" s="235" t="s">
        <v>43</v>
      </c>
      <c r="B3" s="238" t="s">
        <v>44</v>
      </c>
      <c r="C3" s="238"/>
      <c r="D3" s="238"/>
      <c r="E3" s="238"/>
      <c r="F3" s="238"/>
      <c r="G3" s="238"/>
      <c r="H3" s="224" t="s">
        <v>13</v>
      </c>
      <c r="I3" s="225"/>
      <c r="J3" s="239" t="s">
        <v>45</v>
      </c>
      <c r="K3" s="225"/>
      <c r="L3" s="224" t="s">
        <v>46</v>
      </c>
      <c r="M3" s="225"/>
      <c r="N3" s="228" t="s">
        <v>47</v>
      </c>
    </row>
    <row r="4" spans="1:14" ht="17.25" customHeight="1">
      <c r="A4" s="236"/>
      <c r="B4" s="231" t="s">
        <v>18</v>
      </c>
      <c r="C4" s="231"/>
      <c r="D4" s="226" t="s">
        <v>48</v>
      </c>
      <c r="E4" s="232"/>
      <c r="F4" s="226" t="s">
        <v>49</v>
      </c>
      <c r="G4" s="232"/>
      <c r="H4" s="226"/>
      <c r="I4" s="227"/>
      <c r="J4" s="226"/>
      <c r="K4" s="227"/>
      <c r="L4" s="226"/>
      <c r="M4" s="227"/>
      <c r="N4" s="229"/>
    </row>
    <row r="5" spans="1:14" ht="28.5" customHeight="1">
      <c r="A5" s="237"/>
      <c r="B5" s="89" t="s">
        <v>50</v>
      </c>
      <c r="C5" s="90" t="s">
        <v>51</v>
      </c>
      <c r="D5" s="89" t="s">
        <v>50</v>
      </c>
      <c r="E5" s="90" t="s">
        <v>51</v>
      </c>
      <c r="F5" s="89" t="s">
        <v>50</v>
      </c>
      <c r="G5" s="91" t="s">
        <v>52</v>
      </c>
      <c r="H5" s="89" t="s">
        <v>50</v>
      </c>
      <c r="I5" s="92" t="s">
        <v>53</v>
      </c>
      <c r="J5" s="89" t="s">
        <v>50</v>
      </c>
      <c r="K5" s="92" t="s">
        <v>54</v>
      </c>
      <c r="L5" s="89" t="s">
        <v>50</v>
      </c>
      <c r="M5" s="93" t="s">
        <v>55</v>
      </c>
      <c r="N5" s="230"/>
    </row>
    <row r="6" spans="1:14" ht="10.5" customHeight="1">
      <c r="A6" s="94"/>
      <c r="B6" s="95" t="s">
        <v>4</v>
      </c>
      <c r="C6" s="96" t="s">
        <v>5</v>
      </c>
      <c r="D6" s="95" t="s">
        <v>4</v>
      </c>
      <c r="E6" s="96" t="s">
        <v>5</v>
      </c>
      <c r="F6" s="95" t="s">
        <v>4</v>
      </c>
      <c r="G6" s="96" t="s">
        <v>5</v>
      </c>
      <c r="H6" s="95" t="s">
        <v>4</v>
      </c>
      <c r="I6" s="97" t="s">
        <v>5</v>
      </c>
      <c r="J6" s="95" t="s">
        <v>4</v>
      </c>
      <c r="K6" s="97" t="s">
        <v>5</v>
      </c>
      <c r="L6" s="95" t="s">
        <v>4</v>
      </c>
      <c r="M6" s="97" t="s">
        <v>5</v>
      </c>
      <c r="N6" s="98"/>
    </row>
    <row r="7" spans="1:14" ht="15.75" customHeight="1">
      <c r="A7" s="99" t="s">
        <v>56</v>
      </c>
      <c r="B7" s="100">
        <f>_xlfn.COMPOUNDVALUE(125)</f>
        <v>907</v>
      </c>
      <c r="C7" s="101">
        <v>7682028</v>
      </c>
      <c r="D7" s="100">
        <f>_xlfn.COMPOUNDVALUE(126)</f>
        <v>326</v>
      </c>
      <c r="E7" s="101">
        <v>117176</v>
      </c>
      <c r="F7" s="100">
        <f>_xlfn.COMPOUNDVALUE(127)</f>
        <v>1233</v>
      </c>
      <c r="G7" s="101">
        <v>7799204</v>
      </c>
      <c r="H7" s="100">
        <f>_xlfn.COMPOUNDVALUE(128)</f>
        <v>119</v>
      </c>
      <c r="I7" s="102">
        <v>478215</v>
      </c>
      <c r="J7" s="100">
        <v>63</v>
      </c>
      <c r="K7" s="102">
        <v>2010</v>
      </c>
      <c r="L7" s="100">
        <v>1359</v>
      </c>
      <c r="M7" s="102">
        <v>7322998</v>
      </c>
      <c r="N7" s="103" t="s">
        <v>56</v>
      </c>
    </row>
    <row r="8" spans="1:14" ht="15.75" customHeight="1">
      <c r="A8" s="99" t="s">
        <v>57</v>
      </c>
      <c r="B8" s="100">
        <f>_xlfn.COMPOUNDVALUE(129)</f>
        <v>1672</v>
      </c>
      <c r="C8" s="101">
        <v>5585402</v>
      </c>
      <c r="D8" s="100">
        <f>_xlfn.COMPOUNDVALUE(130)</f>
        <v>594</v>
      </c>
      <c r="E8" s="101">
        <v>213575</v>
      </c>
      <c r="F8" s="100">
        <f>_xlfn.COMPOUNDVALUE(131)</f>
        <v>2266</v>
      </c>
      <c r="G8" s="101">
        <v>5798977</v>
      </c>
      <c r="H8" s="100">
        <f>_xlfn.COMPOUNDVALUE(132)</f>
        <v>137</v>
      </c>
      <c r="I8" s="102">
        <v>1051528</v>
      </c>
      <c r="J8" s="100">
        <v>97</v>
      </c>
      <c r="K8" s="102">
        <v>16292</v>
      </c>
      <c r="L8" s="100">
        <v>2416</v>
      </c>
      <c r="M8" s="102">
        <v>4763741</v>
      </c>
      <c r="N8" s="103" t="s">
        <v>57</v>
      </c>
    </row>
    <row r="9" spans="1:14" ht="15.75" customHeight="1">
      <c r="A9" s="99" t="s">
        <v>58</v>
      </c>
      <c r="B9" s="100">
        <f>_xlfn.COMPOUNDVALUE(133)</f>
        <v>4104</v>
      </c>
      <c r="C9" s="101">
        <v>23328393</v>
      </c>
      <c r="D9" s="100">
        <f>_xlfn.COMPOUNDVALUE(134)</f>
        <v>1572</v>
      </c>
      <c r="E9" s="101">
        <v>621789</v>
      </c>
      <c r="F9" s="100">
        <f>_xlfn.COMPOUNDVALUE(135)</f>
        <v>5676</v>
      </c>
      <c r="G9" s="101">
        <v>23950182</v>
      </c>
      <c r="H9" s="100">
        <f>_xlfn.COMPOUNDVALUE(136)</f>
        <v>251</v>
      </c>
      <c r="I9" s="102">
        <v>1125097</v>
      </c>
      <c r="J9" s="100">
        <v>244</v>
      </c>
      <c r="K9" s="102">
        <v>40332</v>
      </c>
      <c r="L9" s="100">
        <v>5973</v>
      </c>
      <c r="M9" s="102">
        <v>22865416</v>
      </c>
      <c r="N9" s="103" t="s">
        <v>58</v>
      </c>
    </row>
    <row r="10" spans="1:14" ht="15.75" customHeight="1">
      <c r="A10" s="99" t="s">
        <v>59</v>
      </c>
      <c r="B10" s="100">
        <f>_xlfn.COMPOUNDVALUE(137)</f>
        <v>3210</v>
      </c>
      <c r="C10" s="101">
        <v>17225943</v>
      </c>
      <c r="D10" s="100">
        <f>_xlfn.COMPOUNDVALUE(138)</f>
        <v>1318</v>
      </c>
      <c r="E10" s="101">
        <v>514711</v>
      </c>
      <c r="F10" s="100">
        <f>_xlfn.COMPOUNDVALUE(139)</f>
        <v>4528</v>
      </c>
      <c r="G10" s="101">
        <v>17740653</v>
      </c>
      <c r="H10" s="100">
        <f>_xlfn.COMPOUNDVALUE(140)</f>
        <v>193</v>
      </c>
      <c r="I10" s="102">
        <v>1890488</v>
      </c>
      <c r="J10" s="100">
        <v>237</v>
      </c>
      <c r="K10" s="102">
        <v>-158904</v>
      </c>
      <c r="L10" s="100">
        <v>4763</v>
      </c>
      <c r="M10" s="102">
        <v>15691261</v>
      </c>
      <c r="N10" s="103" t="s">
        <v>59</v>
      </c>
    </row>
    <row r="11" spans="1:14" ht="15.75" customHeight="1">
      <c r="A11" s="99" t="s">
        <v>60</v>
      </c>
      <c r="B11" s="100">
        <f>_xlfn.COMPOUNDVALUE(141)</f>
        <v>6276</v>
      </c>
      <c r="C11" s="101">
        <v>64384184</v>
      </c>
      <c r="D11" s="100">
        <f>_xlfn.COMPOUNDVALUE(142)</f>
        <v>1747</v>
      </c>
      <c r="E11" s="101">
        <v>719785</v>
      </c>
      <c r="F11" s="100">
        <f>_xlfn.COMPOUNDVALUE(143)</f>
        <v>8023</v>
      </c>
      <c r="G11" s="101">
        <v>65103969</v>
      </c>
      <c r="H11" s="100">
        <f>_xlfn.COMPOUNDVALUE(144)</f>
        <v>537</v>
      </c>
      <c r="I11" s="102">
        <v>1736693</v>
      </c>
      <c r="J11" s="100">
        <v>445</v>
      </c>
      <c r="K11" s="102">
        <v>-475339</v>
      </c>
      <c r="L11" s="100">
        <v>8625</v>
      </c>
      <c r="M11" s="102">
        <v>62891938</v>
      </c>
      <c r="N11" s="103" t="s">
        <v>60</v>
      </c>
    </row>
    <row r="12" spans="1:14" ht="15.75" customHeight="1">
      <c r="A12" s="99" t="s">
        <v>61</v>
      </c>
      <c r="B12" s="100">
        <f>_xlfn.COMPOUNDVALUE(145)</f>
        <v>4262</v>
      </c>
      <c r="C12" s="101">
        <v>15922326</v>
      </c>
      <c r="D12" s="100">
        <f>_xlfn.COMPOUNDVALUE(146)</f>
        <v>1623</v>
      </c>
      <c r="E12" s="101">
        <v>630992</v>
      </c>
      <c r="F12" s="100">
        <f>_xlfn.COMPOUNDVALUE(147)</f>
        <v>5885</v>
      </c>
      <c r="G12" s="101">
        <v>16553318</v>
      </c>
      <c r="H12" s="100">
        <f>_xlfn.COMPOUNDVALUE(148)</f>
        <v>354</v>
      </c>
      <c r="I12" s="102">
        <v>654473</v>
      </c>
      <c r="J12" s="100">
        <v>276</v>
      </c>
      <c r="K12" s="102">
        <v>241278</v>
      </c>
      <c r="L12" s="100">
        <v>6297</v>
      </c>
      <c r="M12" s="102">
        <v>16140123</v>
      </c>
      <c r="N12" s="103" t="s">
        <v>61</v>
      </c>
    </row>
    <row r="13" spans="1:14" ht="15.75" customHeight="1">
      <c r="A13" s="99" t="s">
        <v>62</v>
      </c>
      <c r="B13" s="100">
        <f>_xlfn.COMPOUNDVALUE(149)</f>
        <v>6587</v>
      </c>
      <c r="C13" s="101">
        <v>41412102</v>
      </c>
      <c r="D13" s="100">
        <f>_xlfn.COMPOUNDVALUE(150)</f>
        <v>2662</v>
      </c>
      <c r="E13" s="101">
        <v>1080264</v>
      </c>
      <c r="F13" s="100">
        <f>_xlfn.COMPOUNDVALUE(151)</f>
        <v>9249</v>
      </c>
      <c r="G13" s="101">
        <v>42492366</v>
      </c>
      <c r="H13" s="100">
        <f>_xlfn.COMPOUNDVALUE(152)</f>
        <v>571</v>
      </c>
      <c r="I13" s="102">
        <v>4187478</v>
      </c>
      <c r="J13" s="100">
        <v>447</v>
      </c>
      <c r="K13" s="102">
        <v>130528</v>
      </c>
      <c r="L13" s="100">
        <v>9886</v>
      </c>
      <c r="M13" s="102">
        <v>38435417</v>
      </c>
      <c r="N13" s="103" t="s">
        <v>62</v>
      </c>
    </row>
    <row r="14" spans="1:14" ht="15.75" customHeight="1">
      <c r="A14" s="99" t="s">
        <v>63</v>
      </c>
      <c r="B14" s="100">
        <f>_xlfn.COMPOUNDVALUE(153)</f>
        <v>3679</v>
      </c>
      <c r="C14" s="101">
        <v>11322713</v>
      </c>
      <c r="D14" s="100">
        <f>_xlfn.COMPOUNDVALUE(154)</f>
        <v>1643</v>
      </c>
      <c r="E14" s="101">
        <v>616243</v>
      </c>
      <c r="F14" s="100">
        <f>_xlfn.COMPOUNDVALUE(155)</f>
        <v>5322</v>
      </c>
      <c r="G14" s="101">
        <v>11938956</v>
      </c>
      <c r="H14" s="100">
        <f>_xlfn.COMPOUNDVALUE(156)</f>
        <v>211</v>
      </c>
      <c r="I14" s="102">
        <v>379829</v>
      </c>
      <c r="J14" s="100">
        <v>216</v>
      </c>
      <c r="K14" s="102">
        <v>23088</v>
      </c>
      <c r="L14" s="100">
        <v>5576</v>
      </c>
      <c r="M14" s="102">
        <v>11582215</v>
      </c>
      <c r="N14" s="103" t="s">
        <v>63</v>
      </c>
    </row>
    <row r="15" spans="1:14" ht="15.75" customHeight="1">
      <c r="A15" s="99" t="s">
        <v>64</v>
      </c>
      <c r="B15" s="100">
        <f>_xlfn.COMPOUNDVALUE(157)</f>
        <v>1617</v>
      </c>
      <c r="C15" s="101">
        <v>5352769</v>
      </c>
      <c r="D15" s="100">
        <f>_xlfn.COMPOUNDVALUE(158)</f>
        <v>683</v>
      </c>
      <c r="E15" s="101">
        <v>254686</v>
      </c>
      <c r="F15" s="100">
        <f>_xlfn.COMPOUNDVALUE(159)</f>
        <v>2300</v>
      </c>
      <c r="G15" s="101">
        <v>5607456</v>
      </c>
      <c r="H15" s="100">
        <f>_xlfn.COMPOUNDVALUE(160)</f>
        <v>56</v>
      </c>
      <c r="I15" s="102">
        <v>68570</v>
      </c>
      <c r="J15" s="100">
        <v>117</v>
      </c>
      <c r="K15" s="102">
        <v>-1671</v>
      </c>
      <c r="L15" s="100">
        <v>2371</v>
      </c>
      <c r="M15" s="102">
        <v>5537215</v>
      </c>
      <c r="N15" s="103" t="s">
        <v>64</v>
      </c>
    </row>
    <row r="16" spans="1:14" ht="15.75" customHeight="1">
      <c r="A16" s="99" t="s">
        <v>65</v>
      </c>
      <c r="B16" s="100">
        <f>_xlfn.COMPOUNDVALUE(161)</f>
        <v>3086</v>
      </c>
      <c r="C16" s="101">
        <v>13490407</v>
      </c>
      <c r="D16" s="100">
        <f>_xlfn.COMPOUNDVALUE(162)</f>
        <v>1212</v>
      </c>
      <c r="E16" s="101">
        <v>457786</v>
      </c>
      <c r="F16" s="100">
        <f>_xlfn.COMPOUNDVALUE(163)</f>
        <v>4298</v>
      </c>
      <c r="G16" s="101">
        <v>13948194</v>
      </c>
      <c r="H16" s="100">
        <f>_xlfn.COMPOUNDVALUE(164)</f>
        <v>154</v>
      </c>
      <c r="I16" s="102">
        <v>3732488</v>
      </c>
      <c r="J16" s="100">
        <v>217</v>
      </c>
      <c r="K16" s="102">
        <v>21866</v>
      </c>
      <c r="L16" s="100">
        <v>4493</v>
      </c>
      <c r="M16" s="102">
        <v>10237571</v>
      </c>
      <c r="N16" s="103" t="s">
        <v>65</v>
      </c>
    </row>
    <row r="17" spans="1:14" ht="15.75" customHeight="1">
      <c r="A17" s="99" t="s">
        <v>66</v>
      </c>
      <c r="B17" s="100">
        <f>_xlfn.COMPOUNDVALUE(165)</f>
        <v>944</v>
      </c>
      <c r="C17" s="101">
        <v>3414924</v>
      </c>
      <c r="D17" s="100">
        <f>_xlfn.COMPOUNDVALUE(166)</f>
        <v>335</v>
      </c>
      <c r="E17" s="101">
        <v>121572</v>
      </c>
      <c r="F17" s="100">
        <f>_xlfn.COMPOUNDVALUE(167)</f>
        <v>1279</v>
      </c>
      <c r="G17" s="101">
        <v>3536495</v>
      </c>
      <c r="H17" s="100">
        <f>_xlfn.COMPOUNDVALUE(168)</f>
        <v>60</v>
      </c>
      <c r="I17" s="102">
        <v>10450293</v>
      </c>
      <c r="J17" s="100">
        <v>55</v>
      </c>
      <c r="K17" s="102">
        <v>-2617</v>
      </c>
      <c r="L17" s="100">
        <v>1351</v>
      </c>
      <c r="M17" s="102">
        <v>-6916415</v>
      </c>
      <c r="N17" s="103" t="s">
        <v>66</v>
      </c>
    </row>
    <row r="18" spans="1:14" ht="15.75" customHeight="1">
      <c r="A18" s="104" t="s">
        <v>67</v>
      </c>
      <c r="B18" s="105">
        <f>_xlfn.COMPOUNDVALUE(169)</f>
        <v>1417</v>
      </c>
      <c r="C18" s="106">
        <v>3871629</v>
      </c>
      <c r="D18" s="105">
        <f>_xlfn.COMPOUNDVALUE(170)</f>
        <v>551</v>
      </c>
      <c r="E18" s="106">
        <v>219580</v>
      </c>
      <c r="F18" s="105">
        <f>_xlfn.COMPOUNDVALUE(171)</f>
        <v>1968</v>
      </c>
      <c r="G18" s="106">
        <v>4091209</v>
      </c>
      <c r="H18" s="105">
        <f>_xlfn.COMPOUNDVALUE(172)</f>
        <v>89</v>
      </c>
      <c r="I18" s="107">
        <v>181786</v>
      </c>
      <c r="J18" s="105">
        <v>122</v>
      </c>
      <c r="K18" s="107">
        <v>-187484</v>
      </c>
      <c r="L18" s="105">
        <v>2071</v>
      </c>
      <c r="M18" s="107">
        <v>3721938</v>
      </c>
      <c r="N18" s="108" t="s">
        <v>67</v>
      </c>
    </row>
    <row r="19" spans="1:14" ht="15.75" customHeight="1">
      <c r="A19" s="104" t="s">
        <v>68</v>
      </c>
      <c r="B19" s="105">
        <f>_xlfn.COMPOUNDVALUE(173)</f>
        <v>883</v>
      </c>
      <c r="C19" s="106">
        <v>2500535</v>
      </c>
      <c r="D19" s="105">
        <f>_xlfn.COMPOUNDVALUE(174)</f>
        <v>337</v>
      </c>
      <c r="E19" s="106">
        <v>135300</v>
      </c>
      <c r="F19" s="105">
        <f>_xlfn.COMPOUNDVALUE(175)</f>
        <v>1220</v>
      </c>
      <c r="G19" s="106">
        <v>2635835</v>
      </c>
      <c r="H19" s="105">
        <f>_xlfn.COMPOUNDVALUE(176)</f>
        <v>39</v>
      </c>
      <c r="I19" s="107">
        <v>80264</v>
      </c>
      <c r="J19" s="105">
        <v>76</v>
      </c>
      <c r="K19" s="107">
        <v>5814</v>
      </c>
      <c r="L19" s="105">
        <v>1272</v>
      </c>
      <c r="M19" s="107">
        <v>2561385</v>
      </c>
      <c r="N19" s="108" t="s">
        <v>68</v>
      </c>
    </row>
    <row r="20" spans="1:14" ht="15.75" customHeight="1">
      <c r="A20" s="104" t="s">
        <v>69</v>
      </c>
      <c r="B20" s="105">
        <f>_xlfn.COMPOUNDVALUE(177)</f>
        <v>693</v>
      </c>
      <c r="C20" s="106">
        <v>2721987</v>
      </c>
      <c r="D20" s="105">
        <f>_xlfn.COMPOUNDVALUE(178)</f>
        <v>277</v>
      </c>
      <c r="E20" s="106">
        <v>93108</v>
      </c>
      <c r="F20" s="105">
        <f>_xlfn.COMPOUNDVALUE(179)</f>
        <v>970</v>
      </c>
      <c r="G20" s="106">
        <v>2815096</v>
      </c>
      <c r="H20" s="105">
        <f>_xlfn.COMPOUNDVALUE(180)</f>
        <v>42</v>
      </c>
      <c r="I20" s="107">
        <v>36359</v>
      </c>
      <c r="J20" s="105">
        <v>51</v>
      </c>
      <c r="K20" s="107">
        <v>-399</v>
      </c>
      <c r="L20" s="105">
        <v>1027</v>
      </c>
      <c r="M20" s="107">
        <v>2778338</v>
      </c>
      <c r="N20" s="108" t="s">
        <v>69</v>
      </c>
    </row>
    <row r="21" spans="1:14" ht="15.75" customHeight="1">
      <c r="A21" s="104" t="s">
        <v>70</v>
      </c>
      <c r="B21" s="105">
        <f>_xlfn.COMPOUNDVALUE(181)</f>
        <v>1006</v>
      </c>
      <c r="C21" s="106">
        <v>3438108</v>
      </c>
      <c r="D21" s="105">
        <f>_xlfn.COMPOUNDVALUE(182)</f>
        <v>310</v>
      </c>
      <c r="E21" s="106">
        <v>116275</v>
      </c>
      <c r="F21" s="105">
        <f>_xlfn.COMPOUNDVALUE(183)</f>
        <v>1316</v>
      </c>
      <c r="G21" s="106">
        <v>3554383</v>
      </c>
      <c r="H21" s="105">
        <f>_xlfn.COMPOUNDVALUE(184)</f>
        <v>61</v>
      </c>
      <c r="I21" s="107">
        <v>228361</v>
      </c>
      <c r="J21" s="105">
        <v>77</v>
      </c>
      <c r="K21" s="107">
        <v>1897</v>
      </c>
      <c r="L21" s="105">
        <v>1384</v>
      </c>
      <c r="M21" s="107">
        <v>3327919</v>
      </c>
      <c r="N21" s="108" t="s">
        <v>70</v>
      </c>
    </row>
    <row r="22" spans="1:14" ht="15.75" customHeight="1">
      <c r="A22" s="104" t="s">
        <v>71</v>
      </c>
      <c r="B22" s="105">
        <f>_xlfn.COMPOUNDVALUE(185)</f>
        <v>611</v>
      </c>
      <c r="C22" s="106">
        <v>1777922</v>
      </c>
      <c r="D22" s="105">
        <f>_xlfn.COMPOUNDVALUE(186)</f>
        <v>201</v>
      </c>
      <c r="E22" s="106">
        <v>72688</v>
      </c>
      <c r="F22" s="105">
        <f>_xlfn.COMPOUNDVALUE(187)</f>
        <v>812</v>
      </c>
      <c r="G22" s="106">
        <v>1850610</v>
      </c>
      <c r="H22" s="105">
        <f>_xlfn.COMPOUNDVALUE(188)</f>
        <v>19</v>
      </c>
      <c r="I22" s="107">
        <v>23453</v>
      </c>
      <c r="J22" s="105">
        <v>35</v>
      </c>
      <c r="K22" s="107">
        <v>1025</v>
      </c>
      <c r="L22" s="105">
        <v>845</v>
      </c>
      <c r="M22" s="107">
        <v>1828182</v>
      </c>
      <c r="N22" s="108" t="s">
        <v>71</v>
      </c>
    </row>
    <row r="23" spans="1:14" ht="15.75" customHeight="1">
      <c r="A23" s="104" t="s">
        <v>72</v>
      </c>
      <c r="B23" s="105">
        <f>_xlfn.COMPOUNDVALUE(189)</f>
        <v>1177</v>
      </c>
      <c r="C23" s="106">
        <v>6617897</v>
      </c>
      <c r="D23" s="105">
        <f>_xlfn.COMPOUNDVALUE(190)</f>
        <v>493</v>
      </c>
      <c r="E23" s="106">
        <v>195714</v>
      </c>
      <c r="F23" s="105">
        <f>_xlfn.COMPOUNDVALUE(191)</f>
        <v>1670</v>
      </c>
      <c r="G23" s="106">
        <v>6813611</v>
      </c>
      <c r="H23" s="105">
        <f>_xlfn.COMPOUNDVALUE(192)</f>
        <v>73</v>
      </c>
      <c r="I23" s="107">
        <v>165540</v>
      </c>
      <c r="J23" s="105">
        <v>91</v>
      </c>
      <c r="K23" s="107">
        <v>12203</v>
      </c>
      <c r="L23" s="105">
        <v>1758</v>
      </c>
      <c r="M23" s="107">
        <v>6660274</v>
      </c>
      <c r="N23" s="108" t="s">
        <v>72</v>
      </c>
    </row>
    <row r="24" spans="1:14" ht="15.75" customHeight="1">
      <c r="A24" s="104" t="s">
        <v>73</v>
      </c>
      <c r="B24" s="105">
        <f>_xlfn.COMPOUNDVALUE(193)</f>
        <v>2851</v>
      </c>
      <c r="C24" s="106">
        <v>9128969</v>
      </c>
      <c r="D24" s="105">
        <f>_xlfn.COMPOUNDVALUE(194)</f>
        <v>1129</v>
      </c>
      <c r="E24" s="106">
        <v>406739</v>
      </c>
      <c r="F24" s="105">
        <f>_xlfn.COMPOUNDVALUE(195)</f>
        <v>3980</v>
      </c>
      <c r="G24" s="106">
        <v>9535708</v>
      </c>
      <c r="H24" s="105">
        <f>_xlfn.COMPOUNDVALUE(196)</f>
        <v>132</v>
      </c>
      <c r="I24" s="107">
        <v>149153</v>
      </c>
      <c r="J24" s="105">
        <v>151</v>
      </c>
      <c r="K24" s="107">
        <v>1185</v>
      </c>
      <c r="L24" s="105">
        <v>4162</v>
      </c>
      <c r="M24" s="107">
        <v>9387741</v>
      </c>
      <c r="N24" s="108" t="s">
        <v>73</v>
      </c>
    </row>
    <row r="25" spans="1:14" ht="15.75" customHeight="1">
      <c r="A25" s="109" t="s">
        <v>74</v>
      </c>
      <c r="B25" s="110">
        <v>44982</v>
      </c>
      <c r="C25" s="111">
        <v>239178236</v>
      </c>
      <c r="D25" s="110">
        <v>17013</v>
      </c>
      <c r="E25" s="111">
        <v>6587983</v>
      </c>
      <c r="F25" s="110">
        <v>61995</v>
      </c>
      <c r="G25" s="111">
        <v>245766220</v>
      </c>
      <c r="H25" s="110">
        <v>3098</v>
      </c>
      <c r="I25" s="112">
        <v>26620067</v>
      </c>
      <c r="J25" s="110">
        <v>3017</v>
      </c>
      <c r="K25" s="112">
        <v>-328895</v>
      </c>
      <c r="L25" s="110">
        <v>65629</v>
      </c>
      <c r="M25" s="112">
        <v>218817257</v>
      </c>
      <c r="N25" s="113" t="s">
        <v>74</v>
      </c>
    </row>
    <row r="26" spans="1:14" ht="13.5">
      <c r="A26" s="114"/>
      <c r="B26" s="187"/>
      <c r="C26" s="188"/>
      <c r="D26" s="187"/>
      <c r="E26" s="188"/>
      <c r="F26" s="189"/>
      <c r="G26" s="188"/>
      <c r="H26" s="189"/>
      <c r="I26" s="188"/>
      <c r="J26" s="189"/>
      <c r="K26" s="188"/>
      <c r="L26" s="189"/>
      <c r="M26" s="188"/>
      <c r="N26" s="118"/>
    </row>
    <row r="27" spans="1:14" ht="13.5">
      <c r="A27" s="99" t="s">
        <v>75</v>
      </c>
      <c r="B27" s="100">
        <f>_xlfn.COMPOUNDVALUE(197)</f>
        <v>2308</v>
      </c>
      <c r="C27" s="101">
        <v>10845852</v>
      </c>
      <c r="D27" s="100">
        <f>_xlfn.COMPOUNDVALUE(198)</f>
        <v>997</v>
      </c>
      <c r="E27" s="101">
        <v>384814</v>
      </c>
      <c r="F27" s="100">
        <f>_xlfn.COMPOUNDVALUE(199)</f>
        <v>3305</v>
      </c>
      <c r="G27" s="101">
        <v>11230666</v>
      </c>
      <c r="H27" s="100">
        <f>_xlfn.COMPOUNDVALUE(200)</f>
        <v>104</v>
      </c>
      <c r="I27" s="102">
        <v>150292</v>
      </c>
      <c r="J27" s="100">
        <v>191</v>
      </c>
      <c r="K27" s="102">
        <v>17952</v>
      </c>
      <c r="L27" s="100">
        <v>3437</v>
      </c>
      <c r="M27" s="102">
        <v>11098326</v>
      </c>
      <c r="N27" s="121" t="s">
        <v>75</v>
      </c>
    </row>
    <row r="28" spans="1:14" ht="13.5">
      <c r="A28" s="104" t="s">
        <v>76</v>
      </c>
      <c r="B28" s="105">
        <f>_xlfn.COMPOUNDVALUE(201)</f>
        <v>880</v>
      </c>
      <c r="C28" s="106">
        <v>3186909</v>
      </c>
      <c r="D28" s="105">
        <f>_xlfn.COMPOUNDVALUE(202)</f>
        <v>395</v>
      </c>
      <c r="E28" s="106">
        <v>139553</v>
      </c>
      <c r="F28" s="105">
        <f>_xlfn.COMPOUNDVALUE(203)</f>
        <v>1275</v>
      </c>
      <c r="G28" s="106">
        <v>3326461</v>
      </c>
      <c r="H28" s="105">
        <f>_xlfn.COMPOUNDVALUE(204)</f>
        <v>36</v>
      </c>
      <c r="I28" s="107">
        <v>140204</v>
      </c>
      <c r="J28" s="105">
        <v>59</v>
      </c>
      <c r="K28" s="107">
        <v>-12474</v>
      </c>
      <c r="L28" s="105">
        <v>1328</v>
      </c>
      <c r="M28" s="107">
        <v>3173783</v>
      </c>
      <c r="N28" s="108" t="s">
        <v>76</v>
      </c>
    </row>
    <row r="29" spans="1:14" ht="13.5">
      <c r="A29" s="104" t="s">
        <v>77</v>
      </c>
      <c r="B29" s="105">
        <f>_xlfn.COMPOUNDVALUE(205)</f>
        <v>1025</v>
      </c>
      <c r="C29" s="106">
        <v>5812712</v>
      </c>
      <c r="D29" s="105">
        <f>_xlfn.COMPOUNDVALUE(206)</f>
        <v>408</v>
      </c>
      <c r="E29" s="106">
        <v>151619</v>
      </c>
      <c r="F29" s="105">
        <f>_xlfn.COMPOUNDVALUE(207)</f>
        <v>1433</v>
      </c>
      <c r="G29" s="106">
        <v>5964331</v>
      </c>
      <c r="H29" s="105">
        <f>_xlfn.COMPOUNDVALUE(208)</f>
        <v>63</v>
      </c>
      <c r="I29" s="107">
        <v>982336</v>
      </c>
      <c r="J29" s="105">
        <v>73</v>
      </c>
      <c r="K29" s="107">
        <v>18507</v>
      </c>
      <c r="L29" s="105">
        <v>1512</v>
      </c>
      <c r="M29" s="107">
        <v>5000502</v>
      </c>
      <c r="N29" s="108" t="s">
        <v>77</v>
      </c>
    </row>
    <row r="30" spans="1:14" ht="13.5">
      <c r="A30" s="104" t="s">
        <v>78</v>
      </c>
      <c r="B30" s="105">
        <f>_xlfn.COMPOUNDVALUE(209)</f>
        <v>670</v>
      </c>
      <c r="C30" s="106">
        <v>2301057</v>
      </c>
      <c r="D30" s="105">
        <f>_xlfn.COMPOUNDVALUE(210)</f>
        <v>415</v>
      </c>
      <c r="E30" s="106">
        <v>133112</v>
      </c>
      <c r="F30" s="105">
        <f>_xlfn.COMPOUNDVALUE(211)</f>
        <v>1085</v>
      </c>
      <c r="G30" s="106">
        <v>2434169</v>
      </c>
      <c r="H30" s="105">
        <f>_xlfn.COMPOUNDVALUE(212)</f>
        <v>28</v>
      </c>
      <c r="I30" s="107">
        <v>43785</v>
      </c>
      <c r="J30" s="105">
        <v>63</v>
      </c>
      <c r="K30" s="107">
        <v>-66320</v>
      </c>
      <c r="L30" s="105">
        <v>1118</v>
      </c>
      <c r="M30" s="107">
        <v>2324065</v>
      </c>
      <c r="N30" s="108" t="s">
        <v>78</v>
      </c>
    </row>
    <row r="31" spans="1:14" ht="13.5">
      <c r="A31" s="104" t="s">
        <v>79</v>
      </c>
      <c r="B31" s="105">
        <f>_xlfn.COMPOUNDVALUE(213)</f>
        <v>1109</v>
      </c>
      <c r="C31" s="106">
        <v>3558323</v>
      </c>
      <c r="D31" s="105">
        <f>_xlfn.COMPOUNDVALUE(214)</f>
        <v>486</v>
      </c>
      <c r="E31" s="106">
        <v>220762</v>
      </c>
      <c r="F31" s="105">
        <f>_xlfn.COMPOUNDVALUE(215)</f>
        <v>1595</v>
      </c>
      <c r="G31" s="106">
        <v>3779086</v>
      </c>
      <c r="H31" s="105">
        <f>_xlfn.COMPOUNDVALUE(216)</f>
        <v>40</v>
      </c>
      <c r="I31" s="107">
        <v>90577</v>
      </c>
      <c r="J31" s="105">
        <v>54</v>
      </c>
      <c r="K31" s="107">
        <v>1617</v>
      </c>
      <c r="L31" s="105">
        <v>1644</v>
      </c>
      <c r="M31" s="107">
        <v>3690126</v>
      </c>
      <c r="N31" s="108" t="s">
        <v>79</v>
      </c>
    </row>
    <row r="32" spans="1:14" ht="13.5">
      <c r="A32" s="109" t="s">
        <v>80</v>
      </c>
      <c r="B32" s="110">
        <v>5992</v>
      </c>
      <c r="C32" s="111">
        <v>25704854</v>
      </c>
      <c r="D32" s="110">
        <v>2701</v>
      </c>
      <c r="E32" s="111">
        <v>1029860</v>
      </c>
      <c r="F32" s="110">
        <v>8693</v>
      </c>
      <c r="G32" s="111">
        <v>26734714</v>
      </c>
      <c r="H32" s="110">
        <v>271</v>
      </c>
      <c r="I32" s="112">
        <v>1407194</v>
      </c>
      <c r="J32" s="110">
        <v>440</v>
      </c>
      <c r="K32" s="112">
        <v>-40719</v>
      </c>
      <c r="L32" s="110">
        <v>9039</v>
      </c>
      <c r="M32" s="112">
        <v>25286801</v>
      </c>
      <c r="N32" s="113" t="s">
        <v>80</v>
      </c>
    </row>
    <row r="33" spans="1:14" ht="13.5">
      <c r="A33" s="114"/>
      <c r="B33" s="187"/>
      <c r="C33" s="188"/>
      <c r="D33" s="187"/>
      <c r="E33" s="188"/>
      <c r="F33" s="189"/>
      <c r="G33" s="188"/>
      <c r="H33" s="189"/>
      <c r="I33" s="188"/>
      <c r="J33" s="189"/>
      <c r="K33" s="188"/>
      <c r="L33" s="189"/>
      <c r="M33" s="188"/>
      <c r="N33" s="118"/>
    </row>
    <row r="34" spans="1:14" ht="13.5">
      <c r="A34" s="99" t="s">
        <v>81</v>
      </c>
      <c r="B34" s="100">
        <f>_xlfn.COMPOUNDVALUE(217)</f>
        <v>4247</v>
      </c>
      <c r="C34" s="101">
        <v>19844704</v>
      </c>
      <c r="D34" s="100">
        <f>_xlfn.COMPOUNDVALUE(218)</f>
        <v>1967</v>
      </c>
      <c r="E34" s="101">
        <v>735442</v>
      </c>
      <c r="F34" s="100">
        <f>_xlfn.COMPOUNDVALUE(219)</f>
        <v>6214</v>
      </c>
      <c r="G34" s="101">
        <v>20580146</v>
      </c>
      <c r="H34" s="100">
        <f>_xlfn.COMPOUNDVALUE(220)</f>
        <v>211</v>
      </c>
      <c r="I34" s="102">
        <v>505872</v>
      </c>
      <c r="J34" s="100">
        <v>282</v>
      </c>
      <c r="K34" s="102">
        <v>42393</v>
      </c>
      <c r="L34" s="100">
        <v>6460</v>
      </c>
      <c r="M34" s="102">
        <v>20116667</v>
      </c>
      <c r="N34" s="121" t="s">
        <v>81</v>
      </c>
    </row>
    <row r="35" spans="1:14" ht="13.5">
      <c r="A35" s="104" t="s">
        <v>82</v>
      </c>
      <c r="B35" s="105">
        <f>_xlfn.COMPOUNDVALUE(221)</f>
        <v>2377</v>
      </c>
      <c r="C35" s="106">
        <v>9549012</v>
      </c>
      <c r="D35" s="105">
        <f>_xlfn.COMPOUNDVALUE(222)</f>
        <v>1105</v>
      </c>
      <c r="E35" s="106">
        <v>398097</v>
      </c>
      <c r="F35" s="105">
        <f>_xlfn.COMPOUNDVALUE(223)</f>
        <v>3482</v>
      </c>
      <c r="G35" s="106">
        <v>9947109</v>
      </c>
      <c r="H35" s="105">
        <f>_xlfn.COMPOUNDVALUE(224)</f>
        <v>108</v>
      </c>
      <c r="I35" s="107">
        <v>333916</v>
      </c>
      <c r="J35" s="105">
        <v>148</v>
      </c>
      <c r="K35" s="107">
        <v>23881</v>
      </c>
      <c r="L35" s="105">
        <v>3616</v>
      </c>
      <c r="M35" s="107">
        <v>9637074</v>
      </c>
      <c r="N35" s="108" t="s">
        <v>82</v>
      </c>
    </row>
    <row r="36" spans="1:14" ht="13.5">
      <c r="A36" s="104" t="s">
        <v>83</v>
      </c>
      <c r="B36" s="105">
        <f>_xlfn.COMPOUNDVALUE(225)</f>
        <v>995</v>
      </c>
      <c r="C36" s="106">
        <v>2614292</v>
      </c>
      <c r="D36" s="105">
        <f>_xlfn.COMPOUNDVALUE(226)</f>
        <v>330</v>
      </c>
      <c r="E36" s="106">
        <v>112633</v>
      </c>
      <c r="F36" s="105">
        <f>_xlfn.COMPOUNDVALUE(227)</f>
        <v>1325</v>
      </c>
      <c r="G36" s="106">
        <v>2726925</v>
      </c>
      <c r="H36" s="105">
        <f>_xlfn.COMPOUNDVALUE(228)</f>
        <v>39</v>
      </c>
      <c r="I36" s="107">
        <v>165890</v>
      </c>
      <c r="J36" s="105">
        <v>81</v>
      </c>
      <c r="K36" s="107">
        <v>23430</v>
      </c>
      <c r="L36" s="105">
        <v>1369</v>
      </c>
      <c r="M36" s="107">
        <v>2584465</v>
      </c>
      <c r="N36" s="108" t="s">
        <v>83</v>
      </c>
    </row>
    <row r="37" spans="1:14" ht="13.5">
      <c r="A37" s="104" t="s">
        <v>84</v>
      </c>
      <c r="B37" s="105">
        <f>_xlfn.COMPOUNDVALUE(229)</f>
        <v>1530</v>
      </c>
      <c r="C37" s="106">
        <v>5789245</v>
      </c>
      <c r="D37" s="105">
        <f>_xlfn.COMPOUNDVALUE(230)</f>
        <v>593</v>
      </c>
      <c r="E37" s="106">
        <v>230685</v>
      </c>
      <c r="F37" s="105">
        <f>_xlfn.COMPOUNDVALUE(231)</f>
        <v>2123</v>
      </c>
      <c r="G37" s="106">
        <v>6019930</v>
      </c>
      <c r="H37" s="105">
        <f>_xlfn.COMPOUNDVALUE(232)</f>
        <v>74</v>
      </c>
      <c r="I37" s="107">
        <v>153494</v>
      </c>
      <c r="J37" s="105">
        <v>88</v>
      </c>
      <c r="K37" s="107">
        <v>-2995</v>
      </c>
      <c r="L37" s="105">
        <v>2212</v>
      </c>
      <c r="M37" s="107">
        <v>5863441</v>
      </c>
      <c r="N37" s="108" t="s">
        <v>84</v>
      </c>
    </row>
    <row r="38" spans="1:14" ht="13.5">
      <c r="A38" s="104" t="s">
        <v>85</v>
      </c>
      <c r="B38" s="105">
        <f>_xlfn.COMPOUNDVALUE(233)</f>
        <v>402</v>
      </c>
      <c r="C38" s="106">
        <v>975437</v>
      </c>
      <c r="D38" s="105">
        <f>_xlfn.COMPOUNDVALUE(234)</f>
        <v>195</v>
      </c>
      <c r="E38" s="106">
        <v>64067</v>
      </c>
      <c r="F38" s="105">
        <f>_xlfn.COMPOUNDVALUE(235)</f>
        <v>597</v>
      </c>
      <c r="G38" s="106">
        <v>1039503</v>
      </c>
      <c r="H38" s="105">
        <f>_xlfn.COMPOUNDVALUE(236)</f>
        <v>13</v>
      </c>
      <c r="I38" s="107">
        <v>13183</v>
      </c>
      <c r="J38" s="105">
        <v>7</v>
      </c>
      <c r="K38" s="107">
        <v>1287</v>
      </c>
      <c r="L38" s="105">
        <v>612</v>
      </c>
      <c r="M38" s="107">
        <v>1027607</v>
      </c>
      <c r="N38" s="108" t="s">
        <v>85</v>
      </c>
    </row>
    <row r="39" spans="1:14" ht="13.5">
      <c r="A39" s="104" t="s">
        <v>86</v>
      </c>
      <c r="B39" s="105">
        <f>_xlfn.COMPOUNDVALUE(237)</f>
        <v>492</v>
      </c>
      <c r="C39" s="106">
        <v>1286423</v>
      </c>
      <c r="D39" s="105">
        <f>_xlfn.COMPOUNDVALUE(238)</f>
        <v>232</v>
      </c>
      <c r="E39" s="106">
        <v>89500</v>
      </c>
      <c r="F39" s="105">
        <f>_xlfn.COMPOUNDVALUE(239)</f>
        <v>724</v>
      </c>
      <c r="G39" s="106">
        <v>1375923</v>
      </c>
      <c r="H39" s="105">
        <f>_xlfn.COMPOUNDVALUE(240)</f>
        <v>31</v>
      </c>
      <c r="I39" s="107">
        <v>182573</v>
      </c>
      <c r="J39" s="105">
        <v>27</v>
      </c>
      <c r="K39" s="107">
        <v>-4197</v>
      </c>
      <c r="L39" s="105">
        <v>757</v>
      </c>
      <c r="M39" s="107">
        <v>1189153</v>
      </c>
      <c r="N39" s="108" t="s">
        <v>86</v>
      </c>
    </row>
    <row r="40" spans="1:14" ht="13.5">
      <c r="A40" s="104" t="s">
        <v>87</v>
      </c>
      <c r="B40" s="105">
        <f>_xlfn.COMPOUNDVALUE(241)</f>
        <v>322</v>
      </c>
      <c r="C40" s="106">
        <v>673218</v>
      </c>
      <c r="D40" s="105">
        <f>_xlfn.COMPOUNDVALUE(242)</f>
        <v>115</v>
      </c>
      <c r="E40" s="106">
        <v>41376</v>
      </c>
      <c r="F40" s="105">
        <f>_xlfn.COMPOUNDVALUE(243)</f>
        <v>437</v>
      </c>
      <c r="G40" s="106">
        <v>714595</v>
      </c>
      <c r="H40" s="105">
        <f>_xlfn.COMPOUNDVALUE(244)</f>
        <v>13</v>
      </c>
      <c r="I40" s="107">
        <v>46238</v>
      </c>
      <c r="J40" s="105">
        <v>10</v>
      </c>
      <c r="K40" s="107">
        <v>-12457</v>
      </c>
      <c r="L40" s="105">
        <v>451</v>
      </c>
      <c r="M40" s="107">
        <v>655899</v>
      </c>
      <c r="N40" s="108" t="s">
        <v>87</v>
      </c>
    </row>
    <row r="41" spans="1:14" ht="13.5">
      <c r="A41" s="104" t="s">
        <v>88</v>
      </c>
      <c r="B41" s="105">
        <f>_xlfn.COMPOUNDVALUE(245)</f>
        <v>247</v>
      </c>
      <c r="C41" s="106">
        <v>518440</v>
      </c>
      <c r="D41" s="105">
        <f>_xlfn.COMPOUNDVALUE(246)</f>
        <v>87</v>
      </c>
      <c r="E41" s="106">
        <v>34126</v>
      </c>
      <c r="F41" s="105">
        <f>_xlfn.COMPOUNDVALUE(247)</f>
        <v>334</v>
      </c>
      <c r="G41" s="106">
        <v>552566</v>
      </c>
      <c r="H41" s="105">
        <f>_xlfn.COMPOUNDVALUE(248)</f>
        <v>17</v>
      </c>
      <c r="I41" s="107">
        <v>25534</v>
      </c>
      <c r="J41" s="105">
        <v>12</v>
      </c>
      <c r="K41" s="107">
        <v>2374</v>
      </c>
      <c r="L41" s="105">
        <v>360</v>
      </c>
      <c r="M41" s="107">
        <v>529407</v>
      </c>
      <c r="N41" s="108" t="s">
        <v>88</v>
      </c>
    </row>
    <row r="42" spans="1:14" ht="13.5">
      <c r="A42" s="109" t="s">
        <v>89</v>
      </c>
      <c r="B42" s="110">
        <v>10612</v>
      </c>
      <c r="C42" s="111">
        <v>41250771</v>
      </c>
      <c r="D42" s="110">
        <v>4624</v>
      </c>
      <c r="E42" s="111">
        <v>1705927</v>
      </c>
      <c r="F42" s="110">
        <v>15236</v>
      </c>
      <c r="G42" s="111">
        <v>42956698</v>
      </c>
      <c r="H42" s="110">
        <v>506</v>
      </c>
      <c r="I42" s="112">
        <v>1426701</v>
      </c>
      <c r="J42" s="110">
        <v>655</v>
      </c>
      <c r="K42" s="112">
        <v>73716</v>
      </c>
      <c r="L42" s="110">
        <v>15837</v>
      </c>
      <c r="M42" s="112">
        <v>41603713</v>
      </c>
      <c r="N42" s="113" t="s">
        <v>89</v>
      </c>
    </row>
    <row r="43" spans="1:14" ht="14.25" thickBot="1">
      <c r="A43" s="122"/>
      <c r="B43" s="123"/>
      <c r="C43" s="124"/>
      <c r="D43" s="123"/>
      <c r="E43" s="124"/>
      <c r="F43" s="125"/>
      <c r="G43" s="124"/>
      <c r="H43" s="125"/>
      <c r="I43" s="124"/>
      <c r="J43" s="125"/>
      <c r="K43" s="124"/>
      <c r="L43" s="125"/>
      <c r="M43" s="124"/>
      <c r="N43" s="126"/>
    </row>
    <row r="44" spans="1:14" ht="15" thickBot="1" thickTop="1">
      <c r="A44" s="127" t="s">
        <v>108</v>
      </c>
      <c r="B44" s="128">
        <v>61586</v>
      </c>
      <c r="C44" s="129">
        <v>306133861</v>
      </c>
      <c r="D44" s="128">
        <v>24338</v>
      </c>
      <c r="E44" s="129">
        <v>9323770</v>
      </c>
      <c r="F44" s="128">
        <v>85924</v>
      </c>
      <c r="G44" s="129">
        <v>315457631</v>
      </c>
      <c r="H44" s="128">
        <v>3875</v>
      </c>
      <c r="I44" s="130">
        <v>29453962</v>
      </c>
      <c r="J44" s="128">
        <v>4112</v>
      </c>
      <c r="K44" s="130">
        <v>-295898</v>
      </c>
      <c r="L44" s="128">
        <v>90505</v>
      </c>
      <c r="M44" s="130">
        <v>285707771</v>
      </c>
      <c r="N44" s="131" t="s">
        <v>91</v>
      </c>
    </row>
    <row r="45" spans="1:14" ht="13.5">
      <c r="A45" s="233" t="s">
        <v>92</v>
      </c>
      <c r="B45" s="233"/>
      <c r="C45" s="233"/>
      <c r="D45" s="233"/>
      <c r="E45" s="233"/>
      <c r="F45" s="233"/>
      <c r="G45" s="233"/>
      <c r="H45" s="233"/>
      <c r="I45" s="233"/>
      <c r="J45" s="132"/>
      <c r="K45" s="132"/>
      <c r="L45" s="88"/>
      <c r="M45" s="88"/>
      <c r="N45" s="88"/>
    </row>
  </sheetData>
  <sheetProtection/>
  <mergeCells count="11">
    <mergeCell ref="A2:I2"/>
    <mergeCell ref="A3:A5"/>
    <mergeCell ref="B3:G3"/>
    <mergeCell ref="H3:I4"/>
    <mergeCell ref="J3:K4"/>
    <mergeCell ref="L3:M4"/>
    <mergeCell ref="N3:N5"/>
    <mergeCell ref="B4:C4"/>
    <mergeCell ref="D4:E4"/>
    <mergeCell ref="F4:G4"/>
    <mergeCell ref="A45:I45"/>
  </mergeCells>
  <printOptions/>
  <pageMargins left="0.5905511811023623" right="0.5905511811023623" top="0.984251968503937" bottom="0.5905511811023623" header="0.5118110236220472" footer="0.5118110236220472"/>
  <pageSetup horizontalDpi="600" verticalDpi="600" orientation="landscape" paperSize="9" scale="78" r:id="rId1"/>
  <headerFooter>
    <oddFooter>&amp;R福岡国税局
消費税
(H24)</oddFooter>
  </headerFooter>
</worksheet>
</file>

<file path=xl/worksheets/sheet6.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9.00390625" defaultRowHeight="13.5"/>
  <cols>
    <col min="1" max="1" width="11.375" style="134" customWidth="1"/>
    <col min="2" max="2" width="10.625" style="134" customWidth="1"/>
    <col min="3" max="3" width="12.625" style="134" customWidth="1"/>
    <col min="4" max="4" width="10.625" style="134" customWidth="1"/>
    <col min="5" max="5" width="12.625" style="134" customWidth="1"/>
    <col min="6" max="6" width="10.625" style="134" customWidth="1"/>
    <col min="7" max="7" width="12.625" style="134" customWidth="1"/>
    <col min="8" max="8" width="10.625" style="134" customWidth="1"/>
    <col min="9" max="9" width="12.625" style="134" customWidth="1"/>
    <col min="10" max="10" width="10.625" style="134" customWidth="1"/>
    <col min="11" max="11" width="12.625" style="134" customWidth="1"/>
    <col min="12" max="12" width="10.625" style="134" customWidth="1"/>
    <col min="13" max="13" width="12.625" style="134" customWidth="1"/>
    <col min="14" max="17" width="10.625" style="134" customWidth="1"/>
    <col min="18" max="18" width="11.375" style="134" customWidth="1"/>
    <col min="19" max="16384" width="9.00390625" style="134" customWidth="1"/>
  </cols>
  <sheetData>
    <row r="1" spans="1:18" ht="13.5">
      <c r="A1" s="132" t="s">
        <v>95</v>
      </c>
      <c r="B1" s="132"/>
      <c r="C1" s="132"/>
      <c r="D1" s="132"/>
      <c r="E1" s="132"/>
      <c r="F1" s="132"/>
      <c r="G1" s="132"/>
      <c r="H1" s="132"/>
      <c r="I1" s="132"/>
      <c r="J1" s="132"/>
      <c r="K1" s="132"/>
      <c r="L1" s="133"/>
      <c r="M1" s="133"/>
      <c r="N1" s="133"/>
      <c r="O1" s="133"/>
      <c r="P1" s="133"/>
      <c r="Q1" s="135"/>
      <c r="R1" s="135"/>
    </row>
    <row r="2" spans="1:18" ht="14.25" thickBot="1">
      <c r="A2" s="240" t="s">
        <v>94</v>
      </c>
      <c r="B2" s="240"/>
      <c r="C2" s="240"/>
      <c r="D2" s="240"/>
      <c r="E2" s="240"/>
      <c r="F2" s="240"/>
      <c r="G2" s="240"/>
      <c r="H2" s="240"/>
      <c r="I2" s="240"/>
      <c r="J2" s="132"/>
      <c r="K2" s="132"/>
      <c r="L2" s="133"/>
      <c r="M2" s="133"/>
      <c r="N2" s="133"/>
      <c r="O2" s="133"/>
      <c r="P2" s="133"/>
      <c r="Q2" s="135"/>
      <c r="R2" s="135"/>
    </row>
    <row r="3" spans="1:18" ht="19.5" customHeight="1">
      <c r="A3" s="235" t="s">
        <v>43</v>
      </c>
      <c r="B3" s="238" t="s">
        <v>44</v>
      </c>
      <c r="C3" s="238"/>
      <c r="D3" s="238"/>
      <c r="E3" s="238"/>
      <c r="F3" s="238"/>
      <c r="G3" s="238"/>
      <c r="H3" s="238" t="s">
        <v>13</v>
      </c>
      <c r="I3" s="238"/>
      <c r="J3" s="243" t="s">
        <v>45</v>
      </c>
      <c r="K3" s="238"/>
      <c r="L3" s="238" t="s">
        <v>46</v>
      </c>
      <c r="M3" s="238"/>
      <c r="N3" s="241" t="s">
        <v>96</v>
      </c>
      <c r="O3" s="242"/>
      <c r="P3" s="242"/>
      <c r="Q3" s="242"/>
      <c r="R3" s="228" t="s">
        <v>97</v>
      </c>
    </row>
    <row r="4" spans="1:18" ht="17.25" customHeight="1">
      <c r="A4" s="236"/>
      <c r="B4" s="231" t="s">
        <v>18</v>
      </c>
      <c r="C4" s="231"/>
      <c r="D4" s="231" t="s">
        <v>48</v>
      </c>
      <c r="E4" s="231"/>
      <c r="F4" s="231" t="s">
        <v>49</v>
      </c>
      <c r="G4" s="231"/>
      <c r="H4" s="231"/>
      <c r="I4" s="231"/>
      <c r="J4" s="231"/>
      <c r="K4" s="231"/>
      <c r="L4" s="231"/>
      <c r="M4" s="231"/>
      <c r="N4" s="244" t="s">
        <v>98</v>
      </c>
      <c r="O4" s="246" t="s">
        <v>99</v>
      </c>
      <c r="P4" s="248" t="s">
        <v>100</v>
      </c>
      <c r="Q4" s="227" t="s">
        <v>101</v>
      </c>
      <c r="R4" s="229"/>
    </row>
    <row r="5" spans="1:18" ht="28.5" customHeight="1">
      <c r="A5" s="237"/>
      <c r="B5" s="89" t="s">
        <v>50</v>
      </c>
      <c r="C5" s="90" t="s">
        <v>51</v>
      </c>
      <c r="D5" s="89" t="s">
        <v>50</v>
      </c>
      <c r="E5" s="90" t="s">
        <v>51</v>
      </c>
      <c r="F5" s="89" t="s">
        <v>50</v>
      </c>
      <c r="G5" s="90" t="s">
        <v>52</v>
      </c>
      <c r="H5" s="89" t="s">
        <v>50</v>
      </c>
      <c r="I5" s="90" t="s">
        <v>53</v>
      </c>
      <c r="J5" s="89" t="s">
        <v>50</v>
      </c>
      <c r="K5" s="90" t="s">
        <v>54</v>
      </c>
      <c r="L5" s="89" t="s">
        <v>50</v>
      </c>
      <c r="M5" s="136" t="s">
        <v>102</v>
      </c>
      <c r="N5" s="245"/>
      <c r="O5" s="247"/>
      <c r="P5" s="249"/>
      <c r="Q5" s="250"/>
      <c r="R5" s="230"/>
    </row>
    <row r="6" spans="1:18" ht="10.5" customHeight="1">
      <c r="A6" s="137"/>
      <c r="B6" s="138" t="s">
        <v>4</v>
      </c>
      <c r="C6" s="139" t="s">
        <v>5</v>
      </c>
      <c r="D6" s="138" t="s">
        <v>4</v>
      </c>
      <c r="E6" s="139" t="s">
        <v>5</v>
      </c>
      <c r="F6" s="138" t="s">
        <v>4</v>
      </c>
      <c r="G6" s="139" t="s">
        <v>5</v>
      </c>
      <c r="H6" s="138" t="s">
        <v>4</v>
      </c>
      <c r="I6" s="139" t="s">
        <v>5</v>
      </c>
      <c r="J6" s="138" t="s">
        <v>4</v>
      </c>
      <c r="K6" s="139" t="s">
        <v>5</v>
      </c>
      <c r="L6" s="138" t="s">
        <v>4</v>
      </c>
      <c r="M6" s="139" t="s">
        <v>5</v>
      </c>
      <c r="N6" s="138" t="s">
        <v>4</v>
      </c>
      <c r="O6" s="140" t="s">
        <v>4</v>
      </c>
      <c r="P6" s="140" t="s">
        <v>4</v>
      </c>
      <c r="Q6" s="141" t="s">
        <v>4</v>
      </c>
      <c r="R6" s="142"/>
    </row>
    <row r="7" spans="1:18" ht="15.75" customHeight="1">
      <c r="A7" s="143" t="s">
        <v>56</v>
      </c>
      <c r="B7" s="144">
        <f>_xlfn.COMPOUNDVALUE(249)</f>
        <v>1166</v>
      </c>
      <c r="C7" s="145">
        <v>7759727</v>
      </c>
      <c r="D7" s="144">
        <f>_xlfn.COMPOUNDVALUE(250)</f>
        <v>725</v>
      </c>
      <c r="E7" s="145">
        <v>210011</v>
      </c>
      <c r="F7" s="144">
        <f>_xlfn.COMPOUNDVALUE(251)</f>
        <v>1891</v>
      </c>
      <c r="G7" s="145">
        <v>7969738</v>
      </c>
      <c r="H7" s="144">
        <f>_xlfn.COMPOUNDVALUE(252)</f>
        <v>138</v>
      </c>
      <c r="I7" s="146">
        <v>483549</v>
      </c>
      <c r="J7" s="144">
        <v>135</v>
      </c>
      <c r="K7" s="146">
        <v>16779</v>
      </c>
      <c r="L7" s="144">
        <v>2081</v>
      </c>
      <c r="M7" s="146">
        <v>7502969</v>
      </c>
      <c r="N7" s="144">
        <v>1982</v>
      </c>
      <c r="O7" s="147">
        <v>42</v>
      </c>
      <c r="P7" s="147">
        <v>5</v>
      </c>
      <c r="Q7" s="148">
        <v>2029</v>
      </c>
      <c r="R7" s="149" t="s">
        <v>56</v>
      </c>
    </row>
    <row r="8" spans="1:18" ht="15.75" customHeight="1">
      <c r="A8" s="143" t="s">
        <v>57</v>
      </c>
      <c r="B8" s="144">
        <f>_xlfn.COMPOUNDVALUE(253)</f>
        <v>2369</v>
      </c>
      <c r="C8" s="145">
        <v>5798885</v>
      </c>
      <c r="D8" s="144">
        <f>_xlfn.COMPOUNDVALUE(254)</f>
        <v>1537</v>
      </c>
      <c r="E8" s="145">
        <v>450830</v>
      </c>
      <c r="F8" s="144">
        <f>_xlfn.COMPOUNDVALUE(255)</f>
        <v>3906</v>
      </c>
      <c r="G8" s="145">
        <v>6249715</v>
      </c>
      <c r="H8" s="144">
        <f>_xlfn.COMPOUNDVALUE(256)</f>
        <v>161</v>
      </c>
      <c r="I8" s="146">
        <v>1057730</v>
      </c>
      <c r="J8" s="144">
        <v>217</v>
      </c>
      <c r="K8" s="146">
        <v>51117</v>
      </c>
      <c r="L8" s="144">
        <v>4164</v>
      </c>
      <c r="M8" s="146">
        <v>5243102</v>
      </c>
      <c r="N8" s="144">
        <v>4001</v>
      </c>
      <c r="O8" s="147">
        <v>79</v>
      </c>
      <c r="P8" s="147">
        <v>11</v>
      </c>
      <c r="Q8" s="148">
        <v>4091</v>
      </c>
      <c r="R8" s="149" t="s">
        <v>57</v>
      </c>
    </row>
    <row r="9" spans="1:18" ht="15.75" customHeight="1">
      <c r="A9" s="143" t="s">
        <v>58</v>
      </c>
      <c r="B9" s="144">
        <f>_xlfn.COMPOUNDVALUE(257)</f>
        <v>5483</v>
      </c>
      <c r="C9" s="145">
        <v>23812480</v>
      </c>
      <c r="D9" s="144">
        <f>_xlfn.COMPOUNDVALUE(258)</f>
        <v>3397</v>
      </c>
      <c r="E9" s="145">
        <v>1116812</v>
      </c>
      <c r="F9" s="144">
        <f>_xlfn.COMPOUNDVALUE(259)</f>
        <v>8880</v>
      </c>
      <c r="G9" s="145">
        <v>24929291</v>
      </c>
      <c r="H9" s="144">
        <f>_xlfn.COMPOUNDVALUE(260)</f>
        <v>335</v>
      </c>
      <c r="I9" s="146">
        <v>1167064</v>
      </c>
      <c r="J9" s="144">
        <v>454</v>
      </c>
      <c r="K9" s="146">
        <v>62402</v>
      </c>
      <c r="L9" s="144">
        <v>9328</v>
      </c>
      <c r="M9" s="146">
        <v>23824629</v>
      </c>
      <c r="N9" s="144">
        <v>9371</v>
      </c>
      <c r="O9" s="147">
        <v>179</v>
      </c>
      <c r="P9" s="147">
        <v>34</v>
      </c>
      <c r="Q9" s="148">
        <v>9584</v>
      </c>
      <c r="R9" s="149" t="s">
        <v>58</v>
      </c>
    </row>
    <row r="10" spans="1:18" ht="15.75" customHeight="1">
      <c r="A10" s="143" t="s">
        <v>59</v>
      </c>
      <c r="B10" s="144">
        <f>_xlfn.COMPOUNDVALUE(261)</f>
        <v>4470</v>
      </c>
      <c r="C10" s="145">
        <v>17751735</v>
      </c>
      <c r="D10" s="144">
        <f>_xlfn.COMPOUNDVALUE(262)</f>
        <v>3087</v>
      </c>
      <c r="E10" s="145">
        <v>973313</v>
      </c>
      <c r="F10" s="144">
        <f>_xlfn.COMPOUNDVALUE(263)</f>
        <v>7557</v>
      </c>
      <c r="G10" s="145">
        <v>18725048</v>
      </c>
      <c r="H10" s="144">
        <f>_xlfn.COMPOUNDVALUE(264)</f>
        <v>253</v>
      </c>
      <c r="I10" s="146">
        <v>1915467</v>
      </c>
      <c r="J10" s="144">
        <v>449</v>
      </c>
      <c r="K10" s="146">
        <v>-132235</v>
      </c>
      <c r="L10" s="144">
        <v>7950</v>
      </c>
      <c r="M10" s="146">
        <v>16677347</v>
      </c>
      <c r="N10" s="144">
        <v>7996</v>
      </c>
      <c r="O10" s="147">
        <v>124</v>
      </c>
      <c r="P10" s="147">
        <v>25</v>
      </c>
      <c r="Q10" s="148">
        <v>8145</v>
      </c>
      <c r="R10" s="149" t="s">
        <v>59</v>
      </c>
    </row>
    <row r="11" spans="1:18" ht="15.75" customHeight="1">
      <c r="A11" s="143" t="s">
        <v>60</v>
      </c>
      <c r="B11" s="144">
        <f>_xlfn.COMPOUNDVALUE(265)</f>
        <v>7352</v>
      </c>
      <c r="C11" s="145">
        <v>64829680</v>
      </c>
      <c r="D11" s="144">
        <f>_xlfn.COMPOUNDVALUE(266)</f>
        <v>3174</v>
      </c>
      <c r="E11" s="145">
        <v>1129827</v>
      </c>
      <c r="F11" s="144">
        <f>_xlfn.COMPOUNDVALUE(267)</f>
        <v>10526</v>
      </c>
      <c r="G11" s="145">
        <v>65959507</v>
      </c>
      <c r="H11" s="144">
        <f>_xlfn.COMPOUNDVALUE(268)</f>
        <v>612</v>
      </c>
      <c r="I11" s="146">
        <v>1768427</v>
      </c>
      <c r="J11" s="144">
        <v>559</v>
      </c>
      <c r="K11" s="146">
        <v>-461015</v>
      </c>
      <c r="L11" s="144">
        <v>11228</v>
      </c>
      <c r="M11" s="146">
        <v>63730065</v>
      </c>
      <c r="N11" s="144">
        <v>11094</v>
      </c>
      <c r="O11" s="147">
        <v>318</v>
      </c>
      <c r="P11" s="147">
        <v>114</v>
      </c>
      <c r="Q11" s="148">
        <v>11526</v>
      </c>
      <c r="R11" s="149" t="s">
        <v>60</v>
      </c>
    </row>
    <row r="12" spans="1:18" ht="15.75" customHeight="1">
      <c r="A12" s="143" t="s">
        <v>61</v>
      </c>
      <c r="B12" s="144">
        <f>_xlfn.COMPOUNDVALUE(269)</f>
        <v>6222</v>
      </c>
      <c r="C12" s="145">
        <v>16582325</v>
      </c>
      <c r="D12" s="144">
        <f>_xlfn.COMPOUNDVALUE(270)</f>
        <v>4425</v>
      </c>
      <c r="E12" s="145">
        <v>1358561</v>
      </c>
      <c r="F12" s="144">
        <f>_xlfn.COMPOUNDVALUE(271)</f>
        <v>10647</v>
      </c>
      <c r="G12" s="145">
        <v>17940887</v>
      </c>
      <c r="H12" s="144">
        <f>_xlfn.COMPOUNDVALUE(272)</f>
        <v>473</v>
      </c>
      <c r="I12" s="146">
        <v>721644</v>
      </c>
      <c r="J12" s="144">
        <v>595</v>
      </c>
      <c r="K12" s="146">
        <v>280826</v>
      </c>
      <c r="L12" s="144">
        <v>11288</v>
      </c>
      <c r="M12" s="146">
        <v>17500070</v>
      </c>
      <c r="N12" s="144">
        <v>11116</v>
      </c>
      <c r="O12" s="147">
        <v>276</v>
      </c>
      <c r="P12" s="147">
        <v>34</v>
      </c>
      <c r="Q12" s="148">
        <v>11426</v>
      </c>
      <c r="R12" s="149" t="s">
        <v>61</v>
      </c>
    </row>
    <row r="13" spans="1:18" ht="15.75" customHeight="1">
      <c r="A13" s="143" t="s">
        <v>62</v>
      </c>
      <c r="B13" s="144">
        <f>_xlfn.COMPOUNDVALUE(273)</f>
        <v>8685</v>
      </c>
      <c r="C13" s="145">
        <v>42568490</v>
      </c>
      <c r="D13" s="144">
        <f>_xlfn.COMPOUNDVALUE(274)</f>
        <v>5386</v>
      </c>
      <c r="E13" s="145">
        <v>1946347</v>
      </c>
      <c r="F13" s="144">
        <f>_xlfn.COMPOUNDVALUE(275)</f>
        <v>14071</v>
      </c>
      <c r="G13" s="145">
        <v>44514837</v>
      </c>
      <c r="H13" s="144">
        <f>_xlfn.COMPOUNDVALUE(276)</f>
        <v>672</v>
      </c>
      <c r="I13" s="146">
        <v>4241838</v>
      </c>
      <c r="J13" s="144">
        <v>715</v>
      </c>
      <c r="K13" s="146">
        <v>179050</v>
      </c>
      <c r="L13" s="144">
        <v>14924</v>
      </c>
      <c r="M13" s="146">
        <v>40452049</v>
      </c>
      <c r="N13" s="144">
        <v>14976</v>
      </c>
      <c r="O13" s="147">
        <v>416</v>
      </c>
      <c r="P13" s="147">
        <v>103</v>
      </c>
      <c r="Q13" s="148">
        <v>15495</v>
      </c>
      <c r="R13" s="149" t="s">
        <v>62</v>
      </c>
    </row>
    <row r="14" spans="1:18" ht="15.75" customHeight="1">
      <c r="A14" s="143" t="s">
        <v>63</v>
      </c>
      <c r="B14" s="144">
        <f>_xlfn.COMPOUNDVALUE(277)</f>
        <v>5726</v>
      </c>
      <c r="C14" s="145">
        <v>12089811</v>
      </c>
      <c r="D14" s="144">
        <f>_xlfn.COMPOUNDVALUE(278)</f>
        <v>4783</v>
      </c>
      <c r="E14" s="145">
        <v>1442857</v>
      </c>
      <c r="F14" s="144">
        <f>_xlfn.COMPOUNDVALUE(279)</f>
        <v>10509</v>
      </c>
      <c r="G14" s="145">
        <v>13532668</v>
      </c>
      <c r="H14" s="144">
        <f>_xlfn.COMPOUNDVALUE(280)</f>
        <v>362</v>
      </c>
      <c r="I14" s="146">
        <v>468362</v>
      </c>
      <c r="J14" s="144">
        <v>539</v>
      </c>
      <c r="K14" s="146">
        <v>63977</v>
      </c>
      <c r="L14" s="144">
        <v>11010</v>
      </c>
      <c r="M14" s="146">
        <v>13128283</v>
      </c>
      <c r="N14" s="144">
        <v>11093</v>
      </c>
      <c r="O14" s="147">
        <v>200</v>
      </c>
      <c r="P14" s="147">
        <v>33</v>
      </c>
      <c r="Q14" s="148">
        <v>11326</v>
      </c>
      <c r="R14" s="149" t="s">
        <v>63</v>
      </c>
    </row>
    <row r="15" spans="1:18" ht="15.75" customHeight="1">
      <c r="A15" s="143" t="s">
        <v>64</v>
      </c>
      <c r="B15" s="144">
        <f>_xlfn.COMPOUNDVALUE(281)</f>
        <v>2443</v>
      </c>
      <c r="C15" s="145">
        <v>5692075</v>
      </c>
      <c r="D15" s="144">
        <f>_xlfn.COMPOUNDVALUE(282)</f>
        <v>2912</v>
      </c>
      <c r="E15" s="145">
        <v>767535</v>
      </c>
      <c r="F15" s="144">
        <f>_xlfn.COMPOUNDVALUE(283)</f>
        <v>5355</v>
      </c>
      <c r="G15" s="145">
        <v>6459610</v>
      </c>
      <c r="H15" s="144">
        <f>_xlfn.COMPOUNDVALUE(284)</f>
        <v>114</v>
      </c>
      <c r="I15" s="146">
        <v>88655</v>
      </c>
      <c r="J15" s="144">
        <v>218</v>
      </c>
      <c r="K15" s="146">
        <v>8205</v>
      </c>
      <c r="L15" s="144">
        <v>5511</v>
      </c>
      <c r="M15" s="146">
        <v>6379161</v>
      </c>
      <c r="N15" s="144">
        <v>5440</v>
      </c>
      <c r="O15" s="147">
        <v>75</v>
      </c>
      <c r="P15" s="147">
        <v>15</v>
      </c>
      <c r="Q15" s="148">
        <v>5530</v>
      </c>
      <c r="R15" s="149" t="s">
        <v>64</v>
      </c>
    </row>
    <row r="16" spans="1:18" ht="15.75" customHeight="1">
      <c r="A16" s="143" t="s">
        <v>65</v>
      </c>
      <c r="B16" s="144">
        <f>_xlfn.COMPOUNDVALUE(285)</f>
        <v>4813</v>
      </c>
      <c r="C16" s="145">
        <v>14227449</v>
      </c>
      <c r="D16" s="144">
        <f>_xlfn.COMPOUNDVALUE(286)</f>
        <v>4151</v>
      </c>
      <c r="E16" s="145">
        <v>1202219</v>
      </c>
      <c r="F16" s="144">
        <f>_xlfn.COMPOUNDVALUE(287)</f>
        <v>8964</v>
      </c>
      <c r="G16" s="145">
        <v>15429668</v>
      </c>
      <c r="H16" s="144">
        <f>_xlfn.COMPOUNDVALUE(288)</f>
        <v>242</v>
      </c>
      <c r="I16" s="146">
        <v>3767343</v>
      </c>
      <c r="J16" s="144">
        <v>430</v>
      </c>
      <c r="K16" s="146">
        <v>43273</v>
      </c>
      <c r="L16" s="144">
        <v>9290</v>
      </c>
      <c r="M16" s="146">
        <v>11705597</v>
      </c>
      <c r="N16" s="144">
        <v>9177</v>
      </c>
      <c r="O16" s="147">
        <v>123</v>
      </c>
      <c r="P16" s="147">
        <v>29</v>
      </c>
      <c r="Q16" s="148">
        <v>9329</v>
      </c>
      <c r="R16" s="149" t="s">
        <v>65</v>
      </c>
    </row>
    <row r="17" spans="1:18" ht="15.75" customHeight="1">
      <c r="A17" s="143" t="s">
        <v>66</v>
      </c>
      <c r="B17" s="144">
        <f>_xlfn.COMPOUNDVALUE(289)</f>
        <v>1390</v>
      </c>
      <c r="C17" s="145">
        <v>3562639</v>
      </c>
      <c r="D17" s="144">
        <f>_xlfn.COMPOUNDVALUE(290)</f>
        <v>944</v>
      </c>
      <c r="E17" s="145">
        <v>270731</v>
      </c>
      <c r="F17" s="144">
        <f>_xlfn.COMPOUNDVALUE(291)</f>
        <v>2334</v>
      </c>
      <c r="G17" s="145">
        <v>3833370</v>
      </c>
      <c r="H17" s="144">
        <f>_xlfn.COMPOUNDVALUE(292)</f>
        <v>82</v>
      </c>
      <c r="I17" s="146">
        <v>10456747</v>
      </c>
      <c r="J17" s="144">
        <v>122</v>
      </c>
      <c r="K17" s="146">
        <v>11678</v>
      </c>
      <c r="L17" s="144">
        <v>2459</v>
      </c>
      <c r="M17" s="146">
        <v>-6611699</v>
      </c>
      <c r="N17" s="144">
        <v>2360</v>
      </c>
      <c r="O17" s="147">
        <v>46</v>
      </c>
      <c r="P17" s="147">
        <v>8</v>
      </c>
      <c r="Q17" s="148">
        <v>2414</v>
      </c>
      <c r="R17" s="149" t="s">
        <v>66</v>
      </c>
    </row>
    <row r="18" spans="1:18" ht="15.75" customHeight="1">
      <c r="A18" s="150" t="s">
        <v>67</v>
      </c>
      <c r="B18" s="151">
        <f>_xlfn.COMPOUNDVALUE(293)</f>
        <v>2103</v>
      </c>
      <c r="C18" s="152">
        <v>4207168</v>
      </c>
      <c r="D18" s="151">
        <f>_xlfn.COMPOUNDVALUE(294)</f>
        <v>1460</v>
      </c>
      <c r="E18" s="152">
        <v>437848</v>
      </c>
      <c r="F18" s="151">
        <f>_xlfn.COMPOUNDVALUE(295)</f>
        <v>3563</v>
      </c>
      <c r="G18" s="152">
        <v>4645017</v>
      </c>
      <c r="H18" s="151">
        <f>_xlfn.COMPOUNDVALUE(296)</f>
        <v>127</v>
      </c>
      <c r="I18" s="153">
        <v>186366</v>
      </c>
      <c r="J18" s="151">
        <v>215</v>
      </c>
      <c r="K18" s="153">
        <v>-169077</v>
      </c>
      <c r="L18" s="151">
        <v>3741</v>
      </c>
      <c r="M18" s="153">
        <v>4289574</v>
      </c>
      <c r="N18" s="144">
        <v>3632</v>
      </c>
      <c r="O18" s="147">
        <v>55</v>
      </c>
      <c r="P18" s="147">
        <v>14</v>
      </c>
      <c r="Q18" s="148">
        <v>3701</v>
      </c>
      <c r="R18" s="149" t="s">
        <v>67</v>
      </c>
    </row>
    <row r="19" spans="1:18" ht="15.75" customHeight="1">
      <c r="A19" s="150" t="s">
        <v>68</v>
      </c>
      <c r="B19" s="151">
        <f>_xlfn.COMPOUNDVALUE(297)</f>
        <v>1405</v>
      </c>
      <c r="C19" s="152">
        <v>2711687</v>
      </c>
      <c r="D19" s="151">
        <f>_xlfn.COMPOUNDVALUE(298)</f>
        <v>1018</v>
      </c>
      <c r="E19" s="152">
        <v>295799</v>
      </c>
      <c r="F19" s="151">
        <f>_xlfn.COMPOUNDVALUE(299)</f>
        <v>2423</v>
      </c>
      <c r="G19" s="152">
        <v>3007486</v>
      </c>
      <c r="H19" s="151">
        <f>_xlfn.COMPOUNDVALUE(300)</f>
        <v>59</v>
      </c>
      <c r="I19" s="153">
        <v>89721</v>
      </c>
      <c r="J19" s="151">
        <v>153</v>
      </c>
      <c r="K19" s="153">
        <v>17778</v>
      </c>
      <c r="L19" s="151">
        <v>2517</v>
      </c>
      <c r="M19" s="153">
        <v>2935542</v>
      </c>
      <c r="N19" s="144">
        <v>2518</v>
      </c>
      <c r="O19" s="147">
        <v>31</v>
      </c>
      <c r="P19" s="147">
        <v>4</v>
      </c>
      <c r="Q19" s="148">
        <v>2553</v>
      </c>
      <c r="R19" s="149" t="s">
        <v>68</v>
      </c>
    </row>
    <row r="20" spans="1:18" ht="15.75" customHeight="1">
      <c r="A20" s="150" t="s">
        <v>69</v>
      </c>
      <c r="B20" s="151">
        <f>_xlfn.COMPOUNDVALUE(301)</f>
        <v>1069</v>
      </c>
      <c r="C20" s="152">
        <v>2857261</v>
      </c>
      <c r="D20" s="151">
        <f>_xlfn.COMPOUNDVALUE(302)</f>
        <v>1087</v>
      </c>
      <c r="E20" s="152">
        <v>273026</v>
      </c>
      <c r="F20" s="151">
        <f>_xlfn.COMPOUNDVALUE(303)</f>
        <v>2156</v>
      </c>
      <c r="G20" s="152">
        <v>3130286</v>
      </c>
      <c r="H20" s="151">
        <f>_xlfn.COMPOUNDVALUE(304)</f>
        <v>75</v>
      </c>
      <c r="I20" s="153">
        <v>42458</v>
      </c>
      <c r="J20" s="151">
        <v>109</v>
      </c>
      <c r="K20" s="153">
        <v>9622</v>
      </c>
      <c r="L20" s="151">
        <v>2260</v>
      </c>
      <c r="M20" s="153">
        <v>3097451</v>
      </c>
      <c r="N20" s="144">
        <v>2173</v>
      </c>
      <c r="O20" s="147">
        <v>37</v>
      </c>
      <c r="P20" s="147">
        <v>3</v>
      </c>
      <c r="Q20" s="148">
        <v>2213</v>
      </c>
      <c r="R20" s="149" t="s">
        <v>69</v>
      </c>
    </row>
    <row r="21" spans="1:18" ht="15.75" customHeight="1">
      <c r="A21" s="150" t="s">
        <v>70</v>
      </c>
      <c r="B21" s="151">
        <f>_xlfn.COMPOUNDVALUE(305)</f>
        <v>1667</v>
      </c>
      <c r="C21" s="152">
        <v>3681890</v>
      </c>
      <c r="D21" s="151">
        <f>_xlfn.COMPOUNDVALUE(306)</f>
        <v>2064</v>
      </c>
      <c r="E21" s="152">
        <v>491512</v>
      </c>
      <c r="F21" s="151">
        <f>_xlfn.COMPOUNDVALUE(307)</f>
        <v>3731</v>
      </c>
      <c r="G21" s="152">
        <v>4173401</v>
      </c>
      <c r="H21" s="151">
        <f>_xlfn.COMPOUNDVALUE(308)</f>
        <v>106</v>
      </c>
      <c r="I21" s="153">
        <v>246225</v>
      </c>
      <c r="J21" s="151">
        <v>170</v>
      </c>
      <c r="K21" s="153">
        <v>13477</v>
      </c>
      <c r="L21" s="151">
        <v>3863</v>
      </c>
      <c r="M21" s="153">
        <v>3940653</v>
      </c>
      <c r="N21" s="144">
        <v>3699</v>
      </c>
      <c r="O21" s="147">
        <v>67</v>
      </c>
      <c r="P21" s="147">
        <v>15</v>
      </c>
      <c r="Q21" s="148">
        <v>3781</v>
      </c>
      <c r="R21" s="149" t="s">
        <v>70</v>
      </c>
    </row>
    <row r="22" spans="1:18" ht="15.75" customHeight="1">
      <c r="A22" s="150" t="s">
        <v>71</v>
      </c>
      <c r="B22" s="151">
        <f>_xlfn.COMPOUNDVALUE(309)</f>
        <v>921</v>
      </c>
      <c r="C22" s="152">
        <v>1898251</v>
      </c>
      <c r="D22" s="151">
        <f>_xlfn.COMPOUNDVALUE(310)</f>
        <v>883</v>
      </c>
      <c r="E22" s="152">
        <v>223373</v>
      </c>
      <c r="F22" s="151">
        <f>_xlfn.COMPOUNDVALUE(311)</f>
        <v>1804</v>
      </c>
      <c r="G22" s="152">
        <v>2121624</v>
      </c>
      <c r="H22" s="151">
        <f>_xlfn.COMPOUNDVALUE(312)</f>
        <v>37</v>
      </c>
      <c r="I22" s="153">
        <v>29946</v>
      </c>
      <c r="J22" s="151">
        <v>80</v>
      </c>
      <c r="K22" s="153">
        <v>4135</v>
      </c>
      <c r="L22" s="151">
        <v>1867</v>
      </c>
      <c r="M22" s="153">
        <v>2095812</v>
      </c>
      <c r="N22" s="144">
        <v>1817</v>
      </c>
      <c r="O22" s="147">
        <v>36</v>
      </c>
      <c r="P22" s="147">
        <v>4</v>
      </c>
      <c r="Q22" s="148">
        <v>1857</v>
      </c>
      <c r="R22" s="149" t="s">
        <v>71</v>
      </c>
    </row>
    <row r="23" spans="1:18" ht="15.75" customHeight="1">
      <c r="A23" s="150" t="s">
        <v>72</v>
      </c>
      <c r="B23" s="151">
        <f>_xlfn.COMPOUNDVALUE(313)</f>
        <v>1787</v>
      </c>
      <c r="C23" s="152">
        <v>6806674</v>
      </c>
      <c r="D23" s="151">
        <f>_xlfn.COMPOUNDVALUE(314)</f>
        <v>1288</v>
      </c>
      <c r="E23" s="152">
        <v>383459</v>
      </c>
      <c r="F23" s="151">
        <f>_xlfn.COMPOUNDVALUE(315)</f>
        <v>3075</v>
      </c>
      <c r="G23" s="152">
        <v>7190133</v>
      </c>
      <c r="H23" s="151">
        <f>_xlfn.COMPOUNDVALUE(316)</f>
        <v>103</v>
      </c>
      <c r="I23" s="153">
        <v>171869</v>
      </c>
      <c r="J23" s="151">
        <v>164</v>
      </c>
      <c r="K23" s="153">
        <v>19238</v>
      </c>
      <c r="L23" s="151">
        <v>3210</v>
      </c>
      <c r="M23" s="153">
        <v>7037501</v>
      </c>
      <c r="N23" s="144">
        <v>3156</v>
      </c>
      <c r="O23" s="147">
        <v>56</v>
      </c>
      <c r="P23" s="147">
        <v>6</v>
      </c>
      <c r="Q23" s="148">
        <v>3218</v>
      </c>
      <c r="R23" s="149" t="s">
        <v>72</v>
      </c>
    </row>
    <row r="24" spans="1:18" ht="15.75" customHeight="1">
      <c r="A24" s="150" t="s">
        <v>73</v>
      </c>
      <c r="B24" s="151">
        <f>_xlfn.COMPOUNDVALUE(317)</f>
        <v>4333</v>
      </c>
      <c r="C24" s="152">
        <v>9644749</v>
      </c>
      <c r="D24" s="151">
        <f>_xlfn.COMPOUNDVALUE(318)</f>
        <v>2975</v>
      </c>
      <c r="E24" s="152">
        <v>901777</v>
      </c>
      <c r="F24" s="151">
        <f>_xlfn.COMPOUNDVALUE(319)</f>
        <v>7308</v>
      </c>
      <c r="G24" s="152">
        <v>10546526</v>
      </c>
      <c r="H24" s="151">
        <f>_xlfn.COMPOUNDVALUE(320)</f>
        <v>258</v>
      </c>
      <c r="I24" s="153">
        <v>229958</v>
      </c>
      <c r="J24" s="151">
        <v>386</v>
      </c>
      <c r="K24" s="153">
        <v>32667</v>
      </c>
      <c r="L24" s="151">
        <v>7698</v>
      </c>
      <c r="M24" s="153">
        <v>10349236</v>
      </c>
      <c r="N24" s="144">
        <v>7692</v>
      </c>
      <c r="O24" s="147">
        <v>156</v>
      </c>
      <c r="P24" s="147">
        <v>23</v>
      </c>
      <c r="Q24" s="148">
        <v>7871</v>
      </c>
      <c r="R24" s="149" t="s">
        <v>73</v>
      </c>
    </row>
    <row r="25" spans="1:18" ht="15.75" customHeight="1">
      <c r="A25" s="154" t="s">
        <v>103</v>
      </c>
      <c r="B25" s="155">
        <v>63404</v>
      </c>
      <c r="C25" s="156">
        <v>246482975</v>
      </c>
      <c r="D25" s="155">
        <v>45296</v>
      </c>
      <c r="E25" s="156">
        <v>13875836</v>
      </c>
      <c r="F25" s="155">
        <v>108700</v>
      </c>
      <c r="G25" s="156">
        <v>260358811</v>
      </c>
      <c r="H25" s="155">
        <v>4209</v>
      </c>
      <c r="I25" s="157">
        <v>27133369</v>
      </c>
      <c r="J25" s="155">
        <v>5710</v>
      </c>
      <c r="K25" s="157">
        <v>51898</v>
      </c>
      <c r="L25" s="155">
        <v>114389</v>
      </c>
      <c r="M25" s="157">
        <v>233277340</v>
      </c>
      <c r="N25" s="155">
        <v>113293</v>
      </c>
      <c r="O25" s="158">
        <v>2316</v>
      </c>
      <c r="P25" s="158">
        <v>480</v>
      </c>
      <c r="Q25" s="159">
        <v>116089</v>
      </c>
      <c r="R25" s="160" t="s">
        <v>74</v>
      </c>
    </row>
    <row r="26" spans="1:18" ht="15.75" customHeight="1">
      <c r="A26" s="161"/>
      <c r="B26" s="162"/>
      <c r="C26" s="163"/>
      <c r="D26" s="164"/>
      <c r="E26" s="163"/>
      <c r="F26" s="162"/>
      <c r="G26" s="163"/>
      <c r="H26" s="162"/>
      <c r="I26" s="163"/>
      <c r="J26" s="162"/>
      <c r="K26" s="163"/>
      <c r="L26" s="162"/>
      <c r="M26" s="163"/>
      <c r="N26" s="165"/>
      <c r="O26" s="166"/>
      <c r="P26" s="166"/>
      <c r="Q26" s="167"/>
      <c r="R26" s="168" t="s">
        <v>104</v>
      </c>
    </row>
    <row r="27" spans="1:18" ht="15.75" customHeight="1">
      <c r="A27" s="143" t="s">
        <v>75</v>
      </c>
      <c r="B27" s="144">
        <f>_xlfn.COMPOUNDVALUE(321)</f>
        <v>3429</v>
      </c>
      <c r="C27" s="145">
        <v>11339121</v>
      </c>
      <c r="D27" s="144">
        <f>_xlfn.COMPOUNDVALUE(322)</f>
        <v>4134</v>
      </c>
      <c r="E27" s="145">
        <v>1150689</v>
      </c>
      <c r="F27" s="144">
        <f>_xlfn.COMPOUNDVALUE(323)</f>
        <v>7563</v>
      </c>
      <c r="G27" s="145">
        <v>12489810</v>
      </c>
      <c r="H27" s="144">
        <f>_xlfn.COMPOUNDVALUE(324)</f>
        <v>218</v>
      </c>
      <c r="I27" s="146">
        <v>195969</v>
      </c>
      <c r="J27" s="144">
        <v>429</v>
      </c>
      <c r="K27" s="146">
        <v>39776</v>
      </c>
      <c r="L27" s="144">
        <v>7866</v>
      </c>
      <c r="M27" s="146">
        <v>12333617</v>
      </c>
      <c r="N27" s="144">
        <v>7392</v>
      </c>
      <c r="O27" s="147">
        <v>110</v>
      </c>
      <c r="P27" s="147">
        <v>18</v>
      </c>
      <c r="Q27" s="148">
        <v>7520</v>
      </c>
      <c r="R27" s="149" t="s">
        <v>75</v>
      </c>
    </row>
    <row r="28" spans="1:18" ht="15.75" customHeight="1">
      <c r="A28" s="150" t="s">
        <v>76</v>
      </c>
      <c r="B28" s="151">
        <f>_xlfn.COMPOUNDVALUE(325)</f>
        <v>1483</v>
      </c>
      <c r="C28" s="152">
        <v>3444722</v>
      </c>
      <c r="D28" s="151">
        <f>_xlfn.COMPOUNDVALUE(326)</f>
        <v>1829</v>
      </c>
      <c r="E28" s="152">
        <v>467969</v>
      </c>
      <c r="F28" s="151">
        <f>_xlfn.COMPOUNDVALUE(327)</f>
        <v>3312</v>
      </c>
      <c r="G28" s="152">
        <v>3912691</v>
      </c>
      <c r="H28" s="151">
        <f>_xlfn.COMPOUNDVALUE(328)</f>
        <v>85</v>
      </c>
      <c r="I28" s="153">
        <v>156014</v>
      </c>
      <c r="J28" s="151">
        <v>141</v>
      </c>
      <c r="K28" s="153">
        <v>2081</v>
      </c>
      <c r="L28" s="151">
        <v>3446</v>
      </c>
      <c r="M28" s="153">
        <v>3758757</v>
      </c>
      <c r="N28" s="144">
        <v>3362</v>
      </c>
      <c r="O28" s="147">
        <v>42</v>
      </c>
      <c r="P28" s="147">
        <v>0</v>
      </c>
      <c r="Q28" s="148">
        <v>3404</v>
      </c>
      <c r="R28" s="149" t="s">
        <v>76</v>
      </c>
    </row>
    <row r="29" spans="1:18" ht="15.75" customHeight="1">
      <c r="A29" s="150" t="s">
        <v>77</v>
      </c>
      <c r="B29" s="151">
        <f>_xlfn.COMPOUNDVALUE(329)</f>
        <v>1534</v>
      </c>
      <c r="C29" s="152">
        <v>6004424</v>
      </c>
      <c r="D29" s="151">
        <f>_xlfn.COMPOUNDVALUE(330)</f>
        <v>1288</v>
      </c>
      <c r="E29" s="152">
        <v>376967</v>
      </c>
      <c r="F29" s="151">
        <f>_xlfn.COMPOUNDVALUE(331)</f>
        <v>2822</v>
      </c>
      <c r="G29" s="152">
        <v>6381391</v>
      </c>
      <c r="H29" s="151">
        <f>_xlfn.COMPOUNDVALUE(332)</f>
        <v>97</v>
      </c>
      <c r="I29" s="153">
        <v>999741</v>
      </c>
      <c r="J29" s="151">
        <v>160</v>
      </c>
      <c r="K29" s="153">
        <v>21590</v>
      </c>
      <c r="L29" s="151">
        <v>2962</v>
      </c>
      <c r="M29" s="153">
        <v>5403239</v>
      </c>
      <c r="N29" s="144">
        <v>2884</v>
      </c>
      <c r="O29" s="147">
        <v>48</v>
      </c>
      <c r="P29" s="147">
        <v>6</v>
      </c>
      <c r="Q29" s="148">
        <v>2938</v>
      </c>
      <c r="R29" s="149" t="s">
        <v>77</v>
      </c>
    </row>
    <row r="30" spans="1:18" ht="15.75" customHeight="1">
      <c r="A30" s="150" t="s">
        <v>78</v>
      </c>
      <c r="B30" s="151">
        <f>_xlfn.COMPOUNDVALUE(333)</f>
        <v>955</v>
      </c>
      <c r="C30" s="152">
        <v>2403684</v>
      </c>
      <c r="D30" s="151">
        <f>_xlfn.COMPOUNDVALUE(334)</f>
        <v>927</v>
      </c>
      <c r="E30" s="152">
        <v>242834</v>
      </c>
      <c r="F30" s="151">
        <f>_xlfn.COMPOUNDVALUE(335)</f>
        <v>1882</v>
      </c>
      <c r="G30" s="152">
        <v>2646518</v>
      </c>
      <c r="H30" s="151">
        <f>_xlfn.COMPOUNDVALUE(336)</f>
        <v>68</v>
      </c>
      <c r="I30" s="153">
        <v>56033</v>
      </c>
      <c r="J30" s="151">
        <v>113</v>
      </c>
      <c r="K30" s="153">
        <v>-63195</v>
      </c>
      <c r="L30" s="151">
        <v>1969</v>
      </c>
      <c r="M30" s="153">
        <v>2527290</v>
      </c>
      <c r="N30" s="144">
        <v>1956</v>
      </c>
      <c r="O30" s="147">
        <v>41</v>
      </c>
      <c r="P30" s="147">
        <v>2</v>
      </c>
      <c r="Q30" s="148">
        <v>1999</v>
      </c>
      <c r="R30" s="149" t="s">
        <v>78</v>
      </c>
    </row>
    <row r="31" spans="1:18" ht="15.75" customHeight="1">
      <c r="A31" s="150" t="s">
        <v>79</v>
      </c>
      <c r="B31" s="151">
        <f>_xlfn.COMPOUNDVALUE(337)</f>
        <v>1772</v>
      </c>
      <c r="C31" s="152">
        <v>3842440</v>
      </c>
      <c r="D31" s="151">
        <f>_xlfn.COMPOUNDVALUE(338)</f>
        <v>2435</v>
      </c>
      <c r="E31" s="152">
        <v>645595</v>
      </c>
      <c r="F31" s="151">
        <f>_xlfn.COMPOUNDVALUE(339)</f>
        <v>4207</v>
      </c>
      <c r="G31" s="152">
        <v>4488035</v>
      </c>
      <c r="H31" s="151">
        <f>_xlfn.COMPOUNDVALUE(340)</f>
        <v>109</v>
      </c>
      <c r="I31" s="153">
        <v>121575</v>
      </c>
      <c r="J31" s="151">
        <v>159</v>
      </c>
      <c r="K31" s="153">
        <v>8107</v>
      </c>
      <c r="L31" s="151">
        <v>4340</v>
      </c>
      <c r="M31" s="153">
        <v>4374567</v>
      </c>
      <c r="N31" s="144">
        <v>4094</v>
      </c>
      <c r="O31" s="147">
        <v>63</v>
      </c>
      <c r="P31" s="147">
        <v>3</v>
      </c>
      <c r="Q31" s="148">
        <v>4160</v>
      </c>
      <c r="R31" s="149" t="s">
        <v>79</v>
      </c>
    </row>
    <row r="32" spans="1:18" ht="15.75" customHeight="1">
      <c r="A32" s="154" t="s">
        <v>105</v>
      </c>
      <c r="B32" s="155">
        <v>9173</v>
      </c>
      <c r="C32" s="156">
        <v>27034390</v>
      </c>
      <c r="D32" s="155">
        <v>10613</v>
      </c>
      <c r="E32" s="156">
        <v>2884055</v>
      </c>
      <c r="F32" s="155">
        <v>19786</v>
      </c>
      <c r="G32" s="156">
        <v>29918445</v>
      </c>
      <c r="H32" s="155">
        <v>577</v>
      </c>
      <c r="I32" s="157">
        <v>1529333</v>
      </c>
      <c r="J32" s="155">
        <v>1002</v>
      </c>
      <c r="K32" s="157">
        <v>8358</v>
      </c>
      <c r="L32" s="155">
        <v>20583</v>
      </c>
      <c r="M32" s="157">
        <v>28397470</v>
      </c>
      <c r="N32" s="155">
        <v>19688</v>
      </c>
      <c r="O32" s="158">
        <v>304</v>
      </c>
      <c r="P32" s="158">
        <v>29</v>
      </c>
      <c r="Q32" s="159">
        <v>20021</v>
      </c>
      <c r="R32" s="160" t="s">
        <v>80</v>
      </c>
    </row>
    <row r="33" spans="1:18" ht="15.75" customHeight="1">
      <c r="A33" s="161"/>
      <c r="B33" s="164"/>
      <c r="C33" s="163"/>
      <c r="D33" s="164"/>
      <c r="E33" s="163"/>
      <c r="F33" s="162"/>
      <c r="G33" s="163"/>
      <c r="H33" s="162"/>
      <c r="I33" s="163"/>
      <c r="J33" s="162"/>
      <c r="K33" s="163"/>
      <c r="L33" s="162"/>
      <c r="M33" s="163"/>
      <c r="N33" s="169"/>
      <c r="O33" s="170"/>
      <c r="P33" s="170"/>
      <c r="Q33" s="171"/>
      <c r="R33" s="172" t="s">
        <v>104</v>
      </c>
    </row>
    <row r="34" spans="1:18" ht="15.75" customHeight="1">
      <c r="A34" s="143" t="s">
        <v>81</v>
      </c>
      <c r="B34" s="144">
        <f>_xlfn.COMPOUNDVALUE(341)</f>
        <v>6171</v>
      </c>
      <c r="C34" s="145">
        <v>20520024</v>
      </c>
      <c r="D34" s="144">
        <f>_xlfn.COMPOUNDVALUE(342)</f>
        <v>4607</v>
      </c>
      <c r="E34" s="145">
        <v>1385097</v>
      </c>
      <c r="F34" s="144">
        <f>_xlfn.COMPOUNDVALUE(343)</f>
        <v>10778</v>
      </c>
      <c r="G34" s="145">
        <v>21905121</v>
      </c>
      <c r="H34" s="144">
        <f>_xlfn.COMPOUNDVALUE(344)</f>
        <v>301</v>
      </c>
      <c r="I34" s="146">
        <v>527301</v>
      </c>
      <c r="J34" s="144">
        <v>612</v>
      </c>
      <c r="K34" s="146">
        <v>67687</v>
      </c>
      <c r="L34" s="144">
        <v>11164</v>
      </c>
      <c r="M34" s="146">
        <v>21445507</v>
      </c>
      <c r="N34" s="173">
        <v>11052</v>
      </c>
      <c r="O34" s="174">
        <v>206</v>
      </c>
      <c r="P34" s="174">
        <v>13</v>
      </c>
      <c r="Q34" s="175">
        <v>11271</v>
      </c>
      <c r="R34" s="176" t="s">
        <v>81</v>
      </c>
    </row>
    <row r="35" spans="1:18" ht="15.75" customHeight="1">
      <c r="A35" s="150" t="s">
        <v>82</v>
      </c>
      <c r="B35" s="151">
        <f>_xlfn.COMPOUNDVALUE(345)</f>
        <v>3499</v>
      </c>
      <c r="C35" s="152">
        <v>9945784</v>
      </c>
      <c r="D35" s="151">
        <f>_xlfn.COMPOUNDVALUE(346)</f>
        <v>2824</v>
      </c>
      <c r="E35" s="152">
        <v>808062</v>
      </c>
      <c r="F35" s="151">
        <f>_xlfn.COMPOUNDVALUE(347)</f>
        <v>6323</v>
      </c>
      <c r="G35" s="152">
        <v>10753846</v>
      </c>
      <c r="H35" s="151">
        <f>_xlfn.COMPOUNDVALUE(348)</f>
        <v>171</v>
      </c>
      <c r="I35" s="153">
        <v>357797</v>
      </c>
      <c r="J35" s="151">
        <v>282</v>
      </c>
      <c r="K35" s="153">
        <v>45423</v>
      </c>
      <c r="L35" s="151">
        <v>6576</v>
      </c>
      <c r="M35" s="153">
        <v>10441472</v>
      </c>
      <c r="N35" s="144">
        <v>6453</v>
      </c>
      <c r="O35" s="147">
        <v>114</v>
      </c>
      <c r="P35" s="147">
        <v>11</v>
      </c>
      <c r="Q35" s="148">
        <v>6578</v>
      </c>
      <c r="R35" s="149" t="s">
        <v>82</v>
      </c>
    </row>
    <row r="36" spans="1:18" ht="15.75" customHeight="1">
      <c r="A36" s="150" t="s">
        <v>83</v>
      </c>
      <c r="B36" s="151">
        <f>_xlfn.COMPOUNDVALUE(349)</f>
        <v>1844</v>
      </c>
      <c r="C36" s="152">
        <v>2986806</v>
      </c>
      <c r="D36" s="151">
        <f>_xlfn.COMPOUNDVALUE(350)</f>
        <v>2638</v>
      </c>
      <c r="E36" s="152">
        <v>615618</v>
      </c>
      <c r="F36" s="151">
        <f>_xlfn.COMPOUNDVALUE(351)</f>
        <v>4482</v>
      </c>
      <c r="G36" s="152">
        <v>3602423</v>
      </c>
      <c r="H36" s="151">
        <f>_xlfn.COMPOUNDVALUE(352)</f>
        <v>109</v>
      </c>
      <c r="I36" s="153">
        <v>186977</v>
      </c>
      <c r="J36" s="151">
        <v>286</v>
      </c>
      <c r="K36" s="153">
        <v>59558</v>
      </c>
      <c r="L36" s="151">
        <v>4703</v>
      </c>
      <c r="M36" s="153">
        <v>3475004</v>
      </c>
      <c r="N36" s="144">
        <v>4512</v>
      </c>
      <c r="O36" s="147">
        <v>61</v>
      </c>
      <c r="P36" s="147">
        <v>3</v>
      </c>
      <c r="Q36" s="148">
        <v>4576</v>
      </c>
      <c r="R36" s="149" t="s">
        <v>83</v>
      </c>
    </row>
    <row r="37" spans="1:18" ht="15.75" customHeight="1">
      <c r="A37" s="150" t="s">
        <v>84</v>
      </c>
      <c r="B37" s="151">
        <f>_xlfn.COMPOUNDVALUE(353)</f>
        <v>2214</v>
      </c>
      <c r="C37" s="152">
        <v>6108438</v>
      </c>
      <c r="D37" s="151">
        <f>_xlfn.COMPOUNDVALUE(354)</f>
        <v>2081</v>
      </c>
      <c r="E37" s="152">
        <v>589052</v>
      </c>
      <c r="F37" s="151">
        <f>_xlfn.COMPOUNDVALUE(355)</f>
        <v>4295</v>
      </c>
      <c r="G37" s="152">
        <v>6697490</v>
      </c>
      <c r="H37" s="151">
        <f>_xlfn.COMPOUNDVALUE(356)</f>
        <v>114</v>
      </c>
      <c r="I37" s="153">
        <v>158041</v>
      </c>
      <c r="J37" s="151">
        <v>198</v>
      </c>
      <c r="K37" s="153">
        <v>8750</v>
      </c>
      <c r="L37" s="151">
        <v>4452</v>
      </c>
      <c r="M37" s="153">
        <v>6548199</v>
      </c>
      <c r="N37" s="144">
        <v>4401</v>
      </c>
      <c r="O37" s="147">
        <v>84</v>
      </c>
      <c r="P37" s="147">
        <v>6</v>
      </c>
      <c r="Q37" s="148">
        <v>4491</v>
      </c>
      <c r="R37" s="149" t="s">
        <v>84</v>
      </c>
    </row>
    <row r="38" spans="1:18" ht="15.75" customHeight="1">
      <c r="A38" s="150" t="s">
        <v>85</v>
      </c>
      <c r="B38" s="151">
        <f>_xlfn.COMPOUNDVALUE(357)</f>
        <v>652</v>
      </c>
      <c r="C38" s="152">
        <v>1064570</v>
      </c>
      <c r="D38" s="151">
        <f>_xlfn.COMPOUNDVALUE(358)</f>
        <v>728</v>
      </c>
      <c r="E38" s="152">
        <v>174168</v>
      </c>
      <c r="F38" s="151">
        <f>_xlfn.COMPOUNDVALUE(359)</f>
        <v>1380</v>
      </c>
      <c r="G38" s="152">
        <v>1238738</v>
      </c>
      <c r="H38" s="151">
        <f>_xlfn.COMPOUNDVALUE(360)</f>
        <v>25</v>
      </c>
      <c r="I38" s="153">
        <v>14327</v>
      </c>
      <c r="J38" s="151">
        <v>45</v>
      </c>
      <c r="K38" s="153">
        <v>3695</v>
      </c>
      <c r="L38" s="151">
        <v>1416</v>
      </c>
      <c r="M38" s="153">
        <v>1228106</v>
      </c>
      <c r="N38" s="144">
        <v>1380</v>
      </c>
      <c r="O38" s="147">
        <v>30</v>
      </c>
      <c r="P38" s="147">
        <v>1</v>
      </c>
      <c r="Q38" s="148">
        <v>1411</v>
      </c>
      <c r="R38" s="149" t="s">
        <v>85</v>
      </c>
    </row>
    <row r="39" spans="1:18" ht="15.75" customHeight="1">
      <c r="A39" s="150" t="s">
        <v>86</v>
      </c>
      <c r="B39" s="151">
        <f>_xlfn.COMPOUNDVALUE(361)</f>
        <v>804</v>
      </c>
      <c r="C39" s="152">
        <v>1397230</v>
      </c>
      <c r="D39" s="151">
        <f>_xlfn.COMPOUNDVALUE(362)</f>
        <v>880</v>
      </c>
      <c r="E39" s="152">
        <v>234164</v>
      </c>
      <c r="F39" s="151">
        <f>_xlfn.COMPOUNDVALUE(363)</f>
        <v>1684</v>
      </c>
      <c r="G39" s="152">
        <v>1631394</v>
      </c>
      <c r="H39" s="151">
        <f>_xlfn.COMPOUNDVALUE(364)</f>
        <v>47</v>
      </c>
      <c r="I39" s="153">
        <v>191806</v>
      </c>
      <c r="J39" s="151">
        <v>62</v>
      </c>
      <c r="K39" s="153">
        <v>1720</v>
      </c>
      <c r="L39" s="151">
        <v>1746</v>
      </c>
      <c r="M39" s="153">
        <v>1441308</v>
      </c>
      <c r="N39" s="144">
        <v>1688</v>
      </c>
      <c r="O39" s="147">
        <v>23</v>
      </c>
      <c r="P39" s="147">
        <v>3</v>
      </c>
      <c r="Q39" s="148">
        <v>1714</v>
      </c>
      <c r="R39" s="149" t="s">
        <v>86</v>
      </c>
    </row>
    <row r="40" spans="1:18" ht="15.75" customHeight="1">
      <c r="A40" s="150" t="s">
        <v>87</v>
      </c>
      <c r="B40" s="151">
        <f>_xlfn.COMPOUNDVALUE(365)</f>
        <v>527</v>
      </c>
      <c r="C40" s="152">
        <v>739551</v>
      </c>
      <c r="D40" s="151">
        <f>_xlfn.COMPOUNDVALUE(366)</f>
        <v>363</v>
      </c>
      <c r="E40" s="152">
        <v>92920</v>
      </c>
      <c r="F40" s="151">
        <f>_xlfn.COMPOUNDVALUE(367)</f>
        <v>890</v>
      </c>
      <c r="G40" s="152">
        <v>832471</v>
      </c>
      <c r="H40" s="151">
        <f>_xlfn.COMPOUNDVALUE(368)</f>
        <v>27</v>
      </c>
      <c r="I40" s="153">
        <v>49948</v>
      </c>
      <c r="J40" s="151">
        <v>34</v>
      </c>
      <c r="K40" s="153">
        <v>-9895</v>
      </c>
      <c r="L40" s="151">
        <v>924</v>
      </c>
      <c r="M40" s="153">
        <v>772627</v>
      </c>
      <c r="N40" s="144">
        <v>884</v>
      </c>
      <c r="O40" s="147">
        <v>27</v>
      </c>
      <c r="P40" s="147">
        <v>0</v>
      </c>
      <c r="Q40" s="148">
        <v>911</v>
      </c>
      <c r="R40" s="149" t="s">
        <v>87</v>
      </c>
    </row>
    <row r="41" spans="1:18" ht="15.75" customHeight="1">
      <c r="A41" s="150" t="s">
        <v>88</v>
      </c>
      <c r="B41" s="151">
        <f>_xlfn.COMPOUNDVALUE(369)</f>
        <v>441</v>
      </c>
      <c r="C41" s="152">
        <v>601835</v>
      </c>
      <c r="D41" s="151">
        <f>_xlfn.COMPOUNDVALUE(370)</f>
        <v>561</v>
      </c>
      <c r="E41" s="152">
        <v>143867</v>
      </c>
      <c r="F41" s="151">
        <f>_xlfn.COMPOUNDVALUE(371)</f>
        <v>1002</v>
      </c>
      <c r="G41" s="152">
        <v>745703</v>
      </c>
      <c r="H41" s="151">
        <f>_xlfn.COMPOUNDVALUE(372)</f>
        <v>31</v>
      </c>
      <c r="I41" s="153">
        <v>32888</v>
      </c>
      <c r="J41" s="151">
        <v>28</v>
      </c>
      <c r="K41" s="153">
        <v>4069</v>
      </c>
      <c r="L41" s="151">
        <v>1046</v>
      </c>
      <c r="M41" s="153">
        <v>716884</v>
      </c>
      <c r="N41" s="144">
        <v>970</v>
      </c>
      <c r="O41" s="147">
        <v>15</v>
      </c>
      <c r="P41" s="147">
        <v>0</v>
      </c>
      <c r="Q41" s="148">
        <v>985</v>
      </c>
      <c r="R41" s="149" t="s">
        <v>88</v>
      </c>
    </row>
    <row r="42" spans="1:18" ht="15.75" customHeight="1">
      <c r="A42" s="154" t="s">
        <v>106</v>
      </c>
      <c r="B42" s="155">
        <v>16152</v>
      </c>
      <c r="C42" s="156">
        <v>43364237</v>
      </c>
      <c r="D42" s="155">
        <v>14682</v>
      </c>
      <c r="E42" s="156">
        <v>4042948</v>
      </c>
      <c r="F42" s="155">
        <v>30834</v>
      </c>
      <c r="G42" s="156">
        <v>47407185</v>
      </c>
      <c r="H42" s="155">
        <v>825</v>
      </c>
      <c r="I42" s="157">
        <v>1519087</v>
      </c>
      <c r="J42" s="155">
        <v>1547</v>
      </c>
      <c r="K42" s="157">
        <v>181008</v>
      </c>
      <c r="L42" s="155">
        <v>32027</v>
      </c>
      <c r="M42" s="157">
        <v>46069107</v>
      </c>
      <c r="N42" s="155">
        <v>31340</v>
      </c>
      <c r="O42" s="158">
        <v>560</v>
      </c>
      <c r="P42" s="158">
        <v>37</v>
      </c>
      <c r="Q42" s="159">
        <v>31937</v>
      </c>
      <c r="R42" s="160" t="s">
        <v>89</v>
      </c>
    </row>
    <row r="43" spans="1:18" ht="15.75" customHeight="1" thickBot="1">
      <c r="A43" s="122"/>
      <c r="B43" s="177"/>
      <c r="C43" s="178"/>
      <c r="D43" s="177"/>
      <c r="E43" s="178"/>
      <c r="F43" s="179"/>
      <c r="G43" s="178"/>
      <c r="H43" s="179"/>
      <c r="I43" s="178"/>
      <c r="J43" s="179"/>
      <c r="K43" s="178"/>
      <c r="L43" s="179"/>
      <c r="M43" s="178"/>
      <c r="N43" s="169"/>
      <c r="O43" s="170"/>
      <c r="P43" s="170"/>
      <c r="Q43" s="171"/>
      <c r="R43" s="172"/>
    </row>
    <row r="44" spans="1:18" ht="15.75" customHeight="1" thickBot="1" thickTop="1">
      <c r="A44" s="127" t="s">
        <v>91</v>
      </c>
      <c r="B44" s="180">
        <v>88729</v>
      </c>
      <c r="C44" s="181">
        <v>316881602</v>
      </c>
      <c r="D44" s="180">
        <v>70591</v>
      </c>
      <c r="E44" s="181">
        <v>20802839</v>
      </c>
      <c r="F44" s="180">
        <v>159320</v>
      </c>
      <c r="G44" s="181">
        <v>337684441</v>
      </c>
      <c r="H44" s="180">
        <v>5611</v>
      </c>
      <c r="I44" s="182">
        <v>30181788</v>
      </c>
      <c r="J44" s="180">
        <v>8259</v>
      </c>
      <c r="K44" s="182">
        <v>241264</v>
      </c>
      <c r="L44" s="180">
        <v>166999</v>
      </c>
      <c r="M44" s="182">
        <v>307743917</v>
      </c>
      <c r="N44" s="183">
        <v>164321</v>
      </c>
      <c r="O44" s="184">
        <v>3180</v>
      </c>
      <c r="P44" s="184">
        <v>546</v>
      </c>
      <c r="Q44" s="185">
        <v>168047</v>
      </c>
      <c r="R44" s="186" t="s">
        <v>91</v>
      </c>
    </row>
    <row r="45" spans="1:18" ht="13.5">
      <c r="A45" s="233" t="s">
        <v>107</v>
      </c>
      <c r="B45" s="233"/>
      <c r="C45" s="233"/>
      <c r="D45" s="233"/>
      <c r="E45" s="233"/>
      <c r="F45" s="233"/>
      <c r="G45" s="233"/>
      <c r="H45" s="233"/>
      <c r="I45" s="233"/>
      <c r="J45" s="135"/>
      <c r="K45" s="135"/>
      <c r="L45" s="135"/>
      <c r="M45" s="135"/>
      <c r="N45" s="135"/>
      <c r="O45" s="135"/>
      <c r="P45" s="135"/>
      <c r="Q45" s="135"/>
      <c r="R45" s="135"/>
    </row>
  </sheetData>
  <sheetProtection/>
  <mergeCells count="16">
    <mergeCell ref="R3:R5"/>
    <mergeCell ref="N4:N5"/>
    <mergeCell ref="O4:O5"/>
    <mergeCell ref="P4:P5"/>
    <mergeCell ref="Q4:Q5"/>
    <mergeCell ref="B4:C4"/>
    <mergeCell ref="D4:E4"/>
    <mergeCell ref="F4:G4"/>
    <mergeCell ref="A45:I45"/>
    <mergeCell ref="A2:I2"/>
    <mergeCell ref="N3:Q3"/>
    <mergeCell ref="A3:A5"/>
    <mergeCell ref="B3:G3"/>
    <mergeCell ref="H3:I4"/>
    <mergeCell ref="J3:K4"/>
    <mergeCell ref="L3:M4"/>
  </mergeCells>
  <printOptions/>
  <pageMargins left="0.5905511811023623" right="0.5905511811023623" top="0.984251968503937" bottom="0.5905511811023623" header="0.5118110236220472" footer="0.5118110236220472"/>
  <pageSetup horizontalDpi="600" verticalDpi="600" orientation="landscape" paperSize="9" scale="66" r:id="rId1"/>
  <headerFooter>
    <oddFooter>&amp;R福岡国税局
消費税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2014-06-02T06:03:02Z</cp:lastPrinted>
  <dcterms:created xsi:type="dcterms:W3CDTF">2003-07-09T01:05:10Z</dcterms:created>
  <dcterms:modified xsi:type="dcterms:W3CDTF">2014-06-02T06:08:10Z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